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cd-my.sharepoint.com/personal/alexandria_kemp_kccd_edu/Documents/Desktop/DWBC/FY26/May 2026/"/>
    </mc:Choice>
  </mc:AlternateContent>
  <xr:revisionPtr revIDLastSave="2" documentId="14_{FCFA4043-446B-4590-AB12-296A916E540E}" xr6:coauthVersionLast="47" xr6:coauthVersionMax="47" xr10:uidLastSave="{4C0C3763-CA1F-496F-80AD-08304C2219D5}"/>
  <bookViews>
    <workbookView xWindow="-120" yWindow="-120" windowWidth="29040" windowHeight="15720" activeTab="1" xr2:uid="{C5973F24-FEC1-4A2C-92CC-6B6160B0E80F}"/>
  </bookViews>
  <sheets>
    <sheet name="Allocation" sheetId="2" r:id="rId1"/>
    <sheet name="PY Allocation" sheetId="9" r:id="rId2"/>
    <sheet name="Stabilization" sheetId="5" r:id="rId3"/>
    <sheet name="SCFF" sheetId="1" r:id="rId4"/>
    <sheet name="Lottery PYs" sheetId="3" r:id="rId5"/>
    <sheet name="FTES" sheetId="4" r:id="rId6"/>
    <sheet name="Mandated Programs" sheetId="11" r:id="rId7"/>
    <sheet name="Interest and Other Income" sheetId="12" r:id="rId8"/>
    <sheet name="CCCCO Apportionment " sheetId="10" r:id="rId9"/>
    <sheet name="P1" sheetId="6" r:id="rId10"/>
    <sheet name="P2 Percent w-P1 Count" sheetId="7" state="hidden" r:id="rId11"/>
  </sheets>
  <externalReferences>
    <externalReference r:id="rId12"/>
  </externalReferences>
  <definedNames>
    <definedName name="_xlnm.Print_Area" localSheetId="0">Allocation!$A$1:$I$37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9" i="3"/>
  <c r="C10" i="3" s="1"/>
  <c r="C13" i="2"/>
  <c r="I9" i="3"/>
  <c r="H12" i="2"/>
  <c r="H11" i="2"/>
  <c r="C6" i="5"/>
  <c r="B12" i="2"/>
  <c r="B13" i="2"/>
  <c r="I13" i="2" s="1"/>
  <c r="B14" i="2"/>
  <c r="B16" i="2"/>
  <c r="I16" i="2" s="1"/>
  <c r="B17" i="2"/>
  <c r="I17" i="2" s="1"/>
  <c r="B18" i="2"/>
  <c r="E25" i="9"/>
  <c r="D25" i="9"/>
  <c r="C25" i="9"/>
  <c r="H25" i="9" s="1"/>
  <c r="B25" i="9"/>
  <c r="I25" i="9" s="1"/>
  <c r="B19" i="9"/>
  <c r="I18" i="9"/>
  <c r="E18" i="9"/>
  <c r="D18" i="9"/>
  <c r="C18" i="9"/>
  <c r="I17" i="9"/>
  <c r="E17" i="9"/>
  <c r="D17" i="9"/>
  <c r="C17" i="9"/>
  <c r="I16" i="9"/>
  <c r="E16" i="9"/>
  <c r="D16" i="9"/>
  <c r="C16" i="9"/>
  <c r="H15" i="9"/>
  <c r="B15" i="2" s="1"/>
  <c r="I14" i="9"/>
  <c r="E14" i="9"/>
  <c r="D14" i="9"/>
  <c r="C14" i="9"/>
  <c r="I13" i="9"/>
  <c r="E13" i="9"/>
  <c r="D13" i="9"/>
  <c r="C13" i="9"/>
  <c r="G12" i="9"/>
  <c r="H11" i="9"/>
  <c r="B11" i="2" s="1"/>
  <c r="I11" i="2" s="1"/>
  <c r="E11" i="9"/>
  <c r="D11" i="9"/>
  <c r="C11" i="9"/>
  <c r="L59" i="1"/>
  <c r="C13" i="4"/>
  <c r="K13" i="1"/>
  <c r="B13" i="4"/>
  <c r="V46" i="1"/>
  <c r="G21" i="1"/>
  <c r="G22" i="1"/>
  <c r="H13" i="1"/>
  <c r="E15" i="9" l="1"/>
  <c r="E19" i="9" s="1"/>
  <c r="E20" i="2" s="1"/>
  <c r="D15" i="9"/>
  <c r="D19" i="9" s="1"/>
  <c r="C15" i="9"/>
  <c r="C19" i="9" s="1"/>
  <c r="C20" i="2" s="1"/>
  <c r="I15" i="9"/>
  <c r="G19" i="9"/>
  <c r="H12" i="9"/>
  <c r="I12" i="9" s="1"/>
  <c r="H19" i="9"/>
  <c r="I11" i="9"/>
  <c r="F7" i="7"/>
  <c r="E7" i="7"/>
  <c r="D7" i="7"/>
  <c r="C7" i="7"/>
  <c r="F6" i="7"/>
  <c r="E6" i="7"/>
  <c r="C6" i="7"/>
  <c r="F5" i="7"/>
  <c r="E5" i="7"/>
  <c r="D5" i="7"/>
  <c r="C5" i="7"/>
  <c r="F4" i="7"/>
  <c r="D4" i="7"/>
  <c r="C4" i="7"/>
  <c r="F3" i="7"/>
  <c r="E3" i="7"/>
  <c r="D3" i="7"/>
  <c r="C3" i="7"/>
  <c r="I19" i="9" l="1"/>
  <c r="D26" i="9"/>
  <c r="D21" i="9"/>
  <c r="D22" i="9" s="1"/>
  <c r="D20" i="2"/>
  <c r="E26" i="9"/>
  <c r="E21" i="9"/>
  <c r="E22" i="9" s="1"/>
  <c r="C21" i="9"/>
  <c r="C22" i="9" s="1"/>
  <c r="C26" i="9"/>
  <c r="C27" i="2" s="1"/>
  <c r="B19" i="2"/>
  <c r="F5" i="5"/>
  <c r="D6" i="5"/>
  <c r="D27" i="2" l="1"/>
  <c r="D28" i="9"/>
  <c r="D29" i="9" s="1"/>
  <c r="E28" i="9"/>
  <c r="E29" i="9" s="1"/>
  <c r="E27" i="2"/>
  <c r="H26" i="9"/>
  <c r="C28" i="9"/>
  <c r="C29" i="9" s="1"/>
  <c r="S50" i="1"/>
  <c r="S49" i="1"/>
  <c r="S48" i="1"/>
  <c r="S47" i="1"/>
  <c r="S46" i="1"/>
  <c r="S45" i="1"/>
  <c r="S44" i="1"/>
  <c r="S43" i="1"/>
  <c r="S41" i="1"/>
  <c r="S40" i="1"/>
  <c r="S39" i="1"/>
  <c r="S38" i="1"/>
  <c r="S37" i="1"/>
  <c r="S36" i="1"/>
  <c r="S35" i="1"/>
  <c r="S34" i="1"/>
  <c r="S32" i="1"/>
  <c r="S31" i="1"/>
  <c r="S30" i="1"/>
  <c r="S29" i="1"/>
  <c r="S28" i="1"/>
  <c r="S27" i="1"/>
  <c r="S26" i="1"/>
  <c r="S25" i="1"/>
  <c r="S20" i="1"/>
  <c r="S17" i="1"/>
  <c r="S16" i="1"/>
  <c r="S15" i="1"/>
  <c r="S14" i="1"/>
  <c r="S13" i="1"/>
  <c r="H15" i="2" l="1"/>
  <c r="I15" i="2" s="1"/>
  <c r="I14" i="2" l="1"/>
  <c r="F9" i="3" l="1"/>
  <c r="F10" i="3" s="1"/>
  <c r="F15" i="4"/>
  <c r="D15" i="4"/>
  <c r="B15" i="4"/>
  <c r="S22" i="1" l="1"/>
  <c r="S21" i="1"/>
  <c r="E6" i="5"/>
  <c r="D7" i="5" l="1"/>
  <c r="E7" i="5"/>
  <c r="C7" i="5"/>
  <c r="I25" i="2" l="1"/>
  <c r="X12" i="1" l="1"/>
  <c r="X19" i="1"/>
  <c r="X24" i="1"/>
  <c r="D14" i="4" l="1"/>
  <c r="D13" i="4"/>
  <c r="F14" i="4" l="1"/>
  <c r="F13" i="4"/>
  <c r="B14" i="4"/>
  <c r="B16" i="4" l="1"/>
  <c r="C15" i="4" s="1"/>
  <c r="D16" i="4"/>
  <c r="F16" i="4"/>
  <c r="G14" i="4" s="1"/>
  <c r="E13" i="2" l="1"/>
  <c r="E14" i="2"/>
  <c r="G13" i="4"/>
  <c r="E16" i="2"/>
  <c r="D18" i="2"/>
  <c r="D17" i="2"/>
  <c r="E14" i="4"/>
  <c r="E13" i="4"/>
  <c r="E15" i="4"/>
  <c r="C14" i="4"/>
  <c r="G15" i="4"/>
  <c r="I10" i="3"/>
  <c r="D14" i="2" l="1"/>
  <c r="D13" i="2"/>
  <c r="C14" i="2"/>
  <c r="E18" i="2"/>
  <c r="E17" i="2"/>
  <c r="C18" i="2"/>
  <c r="C17" i="2"/>
  <c r="C16" i="2"/>
  <c r="D16" i="2"/>
  <c r="C15" i="2"/>
  <c r="E15" i="2"/>
  <c r="D15" i="2"/>
  <c r="I18" i="2"/>
  <c r="V50" i="1"/>
  <c r="P50" i="1" s="1"/>
  <c r="O50" i="1"/>
  <c r="K50" i="1"/>
  <c r="H50" i="1"/>
  <c r="V49" i="1"/>
  <c r="P49" i="1" s="1"/>
  <c r="O49" i="1"/>
  <c r="K49" i="1"/>
  <c r="H49" i="1"/>
  <c r="V48" i="1"/>
  <c r="P48" i="1" s="1"/>
  <c r="O48" i="1"/>
  <c r="K48" i="1"/>
  <c r="H48" i="1"/>
  <c r="V47" i="1"/>
  <c r="P47" i="1" s="1"/>
  <c r="O47" i="1"/>
  <c r="K47" i="1"/>
  <c r="H47" i="1"/>
  <c r="L46" i="1"/>
  <c r="O46" i="1"/>
  <c r="K46" i="1"/>
  <c r="H46" i="1"/>
  <c r="V45" i="1"/>
  <c r="P45" i="1" s="1"/>
  <c r="O45" i="1"/>
  <c r="K45" i="1"/>
  <c r="H45" i="1"/>
  <c r="V44" i="1"/>
  <c r="P44" i="1" s="1"/>
  <c r="O44" i="1"/>
  <c r="K44" i="1"/>
  <c r="H44" i="1"/>
  <c r="V43" i="1"/>
  <c r="O43" i="1"/>
  <c r="K43" i="1"/>
  <c r="H43" i="1"/>
  <c r="V42" i="1"/>
  <c r="V41" i="1"/>
  <c r="P41" i="1" s="1"/>
  <c r="O41" i="1"/>
  <c r="K41" i="1"/>
  <c r="H41" i="1"/>
  <c r="V40" i="1"/>
  <c r="P40" i="1" s="1"/>
  <c r="O40" i="1"/>
  <c r="K40" i="1"/>
  <c r="H40" i="1"/>
  <c r="V39" i="1"/>
  <c r="P39" i="1" s="1"/>
  <c r="O39" i="1"/>
  <c r="K39" i="1"/>
  <c r="H39" i="1"/>
  <c r="V38" i="1"/>
  <c r="L38" i="1" s="1"/>
  <c r="O38" i="1"/>
  <c r="K38" i="1"/>
  <c r="H38" i="1"/>
  <c r="V37" i="1"/>
  <c r="L37" i="1" s="1"/>
  <c r="O37" i="1"/>
  <c r="K37" i="1"/>
  <c r="H37" i="1"/>
  <c r="V36" i="1"/>
  <c r="P36" i="1" s="1"/>
  <c r="O36" i="1"/>
  <c r="K36" i="1"/>
  <c r="H36" i="1"/>
  <c r="V35" i="1"/>
  <c r="P35" i="1" s="1"/>
  <c r="O35" i="1"/>
  <c r="K35" i="1"/>
  <c r="H35" i="1"/>
  <c r="V34" i="1"/>
  <c r="P34" i="1" s="1"/>
  <c r="O34" i="1"/>
  <c r="K34" i="1"/>
  <c r="H34" i="1"/>
  <c r="V33" i="1"/>
  <c r="V32" i="1"/>
  <c r="L32" i="1" s="1"/>
  <c r="O32" i="1"/>
  <c r="K32" i="1"/>
  <c r="H32" i="1"/>
  <c r="V31" i="1"/>
  <c r="P31" i="1" s="1"/>
  <c r="O31" i="1"/>
  <c r="K31" i="1"/>
  <c r="H31" i="1"/>
  <c r="V30" i="1"/>
  <c r="P30" i="1" s="1"/>
  <c r="O30" i="1"/>
  <c r="K30" i="1"/>
  <c r="H30" i="1"/>
  <c r="V29" i="1"/>
  <c r="L29" i="1" s="1"/>
  <c r="O29" i="1"/>
  <c r="K29" i="1"/>
  <c r="H29" i="1"/>
  <c r="V28" i="1"/>
  <c r="P28" i="1" s="1"/>
  <c r="O28" i="1"/>
  <c r="K28" i="1"/>
  <c r="H28" i="1"/>
  <c r="V27" i="1"/>
  <c r="P27" i="1" s="1"/>
  <c r="O27" i="1"/>
  <c r="K27" i="1"/>
  <c r="H27" i="1"/>
  <c r="V26" i="1"/>
  <c r="P26" i="1" s="1"/>
  <c r="O26" i="1"/>
  <c r="K26" i="1"/>
  <c r="H26" i="1"/>
  <c r="V25" i="1"/>
  <c r="L25" i="1" s="1"/>
  <c r="O25" i="1"/>
  <c r="K25" i="1"/>
  <c r="H25" i="1"/>
  <c r="E23" i="1"/>
  <c r="V22" i="1"/>
  <c r="P22" i="1" s="1"/>
  <c r="O22" i="1"/>
  <c r="K22" i="1"/>
  <c r="H22" i="1"/>
  <c r="V21" i="1"/>
  <c r="L21" i="1" s="1"/>
  <c r="O21" i="1"/>
  <c r="K21" i="1"/>
  <c r="H21" i="1"/>
  <c r="V20" i="1"/>
  <c r="P20" i="1" s="1"/>
  <c r="O20" i="1"/>
  <c r="K20" i="1"/>
  <c r="H20" i="1"/>
  <c r="E18" i="1"/>
  <c r="V17" i="1"/>
  <c r="P17" i="1" s="1"/>
  <c r="O17" i="1"/>
  <c r="K17" i="1"/>
  <c r="H17" i="1"/>
  <c r="V16" i="1"/>
  <c r="L16" i="1" s="1"/>
  <c r="O16" i="1"/>
  <c r="K16" i="1"/>
  <c r="H16" i="1"/>
  <c r="V15" i="1"/>
  <c r="L15" i="1" s="1"/>
  <c r="O15" i="1"/>
  <c r="K15" i="1"/>
  <c r="H15" i="1"/>
  <c r="V14" i="1"/>
  <c r="L14" i="1" s="1"/>
  <c r="O14" i="1"/>
  <c r="K14" i="1"/>
  <c r="H14" i="1"/>
  <c r="O13" i="1"/>
  <c r="S11" i="1"/>
  <c r="K11" i="1"/>
  <c r="O11" i="1"/>
  <c r="O23" i="1" l="1"/>
  <c r="W43" i="1"/>
  <c r="W48" i="1"/>
  <c r="X48" i="1" s="1"/>
  <c r="W46" i="1"/>
  <c r="W45" i="1"/>
  <c r="X45" i="1" s="1"/>
  <c r="L44" i="1"/>
  <c r="W40" i="1"/>
  <c r="W39" i="1"/>
  <c r="T39" i="1" s="1"/>
  <c r="L36" i="1"/>
  <c r="W35" i="1"/>
  <c r="X35" i="1" s="1"/>
  <c r="W31" i="1"/>
  <c r="X31" i="1" s="1"/>
  <c r="W29" i="1"/>
  <c r="W26" i="1"/>
  <c r="O18" i="1"/>
  <c r="W49" i="1"/>
  <c r="X49" i="1" s="1"/>
  <c r="V51" i="1"/>
  <c r="V52" i="1" s="1"/>
  <c r="L48" i="1"/>
  <c r="P46" i="1"/>
  <c r="W44" i="1"/>
  <c r="X44" i="1" s="1"/>
  <c r="L40" i="1"/>
  <c r="P38" i="1"/>
  <c r="W34" i="1"/>
  <c r="W32" i="1"/>
  <c r="X32" i="1" s="1"/>
  <c r="L30" i="1"/>
  <c r="W28" i="1"/>
  <c r="X28" i="1" s="1"/>
  <c r="W27" i="1"/>
  <c r="X27" i="1" s="1"/>
  <c r="L26" i="1"/>
  <c r="W22" i="1"/>
  <c r="P21" i="1"/>
  <c r="W21" i="1"/>
  <c r="X21" i="1" s="1"/>
  <c r="W17" i="1"/>
  <c r="X17" i="1" s="1"/>
  <c r="W16" i="1"/>
  <c r="X16" i="1" s="1"/>
  <c r="W15" i="1"/>
  <c r="P15" i="1"/>
  <c r="W14" i="1"/>
  <c r="W50" i="1"/>
  <c r="X50" i="1" s="1"/>
  <c r="W47" i="1"/>
  <c r="W38" i="1"/>
  <c r="W36" i="1"/>
  <c r="W30" i="1"/>
  <c r="H33" i="1"/>
  <c r="W25" i="1"/>
  <c r="H23" i="1"/>
  <c r="H18" i="1"/>
  <c r="K42" i="1"/>
  <c r="K33" i="1"/>
  <c r="H42" i="1"/>
  <c r="O33" i="1"/>
  <c r="L28" i="1"/>
  <c r="L34" i="1"/>
  <c r="K51" i="1"/>
  <c r="L50" i="1"/>
  <c r="P16" i="1"/>
  <c r="P32" i="1"/>
  <c r="O42" i="1"/>
  <c r="H51" i="1"/>
  <c r="V13" i="1"/>
  <c r="K18" i="1"/>
  <c r="K23" i="1"/>
  <c r="P25" i="1"/>
  <c r="P29" i="1"/>
  <c r="P37" i="1"/>
  <c r="P14" i="1"/>
  <c r="L17" i="1"/>
  <c r="L22" i="1"/>
  <c r="L43" i="1"/>
  <c r="L47" i="1"/>
  <c r="L27" i="1"/>
  <c r="L31" i="1"/>
  <c r="L35" i="1"/>
  <c r="O51" i="1"/>
  <c r="L39" i="1"/>
  <c r="P43" i="1"/>
  <c r="V23" i="1"/>
  <c r="L20" i="1"/>
  <c r="L41" i="1"/>
  <c r="L45" i="1"/>
  <c r="L49" i="1"/>
  <c r="V18" i="1" l="1"/>
  <c r="L13" i="1"/>
  <c r="T27" i="1"/>
  <c r="T28" i="1"/>
  <c r="H11" i="1"/>
  <c r="X9" i="1"/>
  <c r="T45" i="1"/>
  <c r="T31" i="1"/>
  <c r="T48" i="1"/>
  <c r="X39" i="1"/>
  <c r="T32" i="1"/>
  <c r="S23" i="1"/>
  <c r="W23" i="1" s="1"/>
  <c r="X23" i="1" s="1"/>
  <c r="P13" i="1"/>
  <c r="T50" i="1"/>
  <c r="S42" i="1"/>
  <c r="W42" i="1" s="1"/>
  <c r="X42" i="1" s="1"/>
  <c r="T36" i="1"/>
  <c r="X36" i="1"/>
  <c r="S33" i="1"/>
  <c r="W20" i="1"/>
  <c r="X20" i="1" s="1"/>
  <c r="T49" i="1"/>
  <c r="S51" i="1"/>
  <c r="W51" i="1" s="1"/>
  <c r="X51" i="1" s="1"/>
  <c r="W41" i="1"/>
  <c r="T41" i="1" s="1"/>
  <c r="W37" i="1"/>
  <c r="X37" i="1" s="1"/>
  <c r="T35" i="1"/>
  <c r="K52" i="1"/>
  <c r="K53" i="1" s="1"/>
  <c r="K59" i="1" s="1"/>
  <c r="H52" i="1"/>
  <c r="H53" i="1" s="1"/>
  <c r="H54" i="1" s="1"/>
  <c r="T44" i="1"/>
  <c r="T43" i="1"/>
  <c r="X43" i="1"/>
  <c r="T46" i="1"/>
  <c r="X46" i="1"/>
  <c r="T47" i="1"/>
  <c r="X47" i="1"/>
  <c r="T38" i="1"/>
  <c r="X38" i="1"/>
  <c r="T34" i="1"/>
  <c r="X34" i="1"/>
  <c r="T40" i="1"/>
  <c r="X40" i="1"/>
  <c r="T30" i="1"/>
  <c r="X30" i="1"/>
  <c r="T25" i="1"/>
  <c r="X25" i="1"/>
  <c r="T26" i="1"/>
  <c r="X26" i="1"/>
  <c r="T29" i="1"/>
  <c r="X29" i="1"/>
  <c r="T22" i="1"/>
  <c r="X22" i="1"/>
  <c r="T21" i="1"/>
  <c r="T15" i="1"/>
  <c r="X15" i="1"/>
  <c r="T14" i="1"/>
  <c r="X14" i="1"/>
  <c r="T16" i="1"/>
  <c r="T17" i="1"/>
  <c r="W11" i="1"/>
  <c r="X10" i="1"/>
  <c r="O52" i="1"/>
  <c r="K54" i="1" l="1"/>
  <c r="K55" i="1" s="1"/>
  <c r="H55" i="1"/>
  <c r="H56" i="1" s="1"/>
  <c r="H57" i="1" s="1"/>
  <c r="X11" i="1"/>
  <c r="X41" i="1"/>
  <c r="S52" i="1"/>
  <c r="T37" i="1"/>
  <c r="W33" i="1"/>
  <c r="X33" i="1" s="1"/>
  <c r="L23" i="1"/>
  <c r="T23" i="1"/>
  <c r="P23" i="1"/>
  <c r="T20" i="1"/>
  <c r="L51" i="1"/>
  <c r="T51" i="1"/>
  <c r="O53" i="1"/>
  <c r="O59" i="1" s="1"/>
  <c r="P51" i="1"/>
  <c r="P42" i="1"/>
  <c r="L42" i="1"/>
  <c r="T42" i="1"/>
  <c r="F9" i="5" l="1"/>
  <c r="W52" i="1"/>
  <c r="X52" i="1" s="1"/>
  <c r="L33" i="1"/>
  <c r="T33" i="1"/>
  <c r="P33" i="1"/>
  <c r="O54" i="1"/>
  <c r="O55" i="1" s="1"/>
  <c r="K56" i="1"/>
  <c r="K57" i="1" s="1"/>
  <c r="F13" i="5" l="1"/>
  <c r="C11" i="2"/>
  <c r="C19" i="2" s="1"/>
  <c r="C21" i="2" s="1"/>
  <c r="C9" i="5"/>
  <c r="P52" i="1"/>
  <c r="T52" i="1"/>
  <c r="L52" i="1"/>
  <c r="O56" i="1"/>
  <c r="O57" i="1" s="1"/>
  <c r="C13" i="5" l="1"/>
  <c r="C11" i="5"/>
  <c r="C22" i="2"/>
  <c r="D11" i="2"/>
  <c r="D9" i="5"/>
  <c r="D13" i="5" l="1"/>
  <c r="D11" i="5"/>
  <c r="D19" i="2"/>
  <c r="D21" i="2" s="1"/>
  <c r="D22" i="2" s="1"/>
  <c r="S18" i="1" l="1"/>
  <c r="W18" i="1" s="1"/>
  <c r="P18" i="1" s="1"/>
  <c r="W13" i="1"/>
  <c r="X13" i="1" s="1"/>
  <c r="X18" i="1" l="1"/>
  <c r="T13" i="1"/>
  <c r="T18" i="1"/>
  <c r="S53" i="1"/>
  <c r="L18" i="1"/>
  <c r="S54" i="1" l="1"/>
  <c r="S59" i="1"/>
  <c r="W53" i="1"/>
  <c r="W59" i="1" s="1"/>
  <c r="W54" i="1" l="1"/>
  <c r="S55" i="1"/>
  <c r="L53" i="1"/>
  <c r="X53" i="1"/>
  <c r="P53" i="1"/>
  <c r="T53" i="1"/>
  <c r="P59" i="1" l="1"/>
  <c r="D25" i="2" s="1"/>
  <c r="D26" i="2" s="1"/>
  <c r="D28" i="2" s="1"/>
  <c r="D29" i="2" s="1"/>
  <c r="S56" i="1"/>
  <c r="W56" i="1" s="1"/>
  <c r="X56" i="1" s="1"/>
  <c r="W55" i="1"/>
  <c r="X55" i="1" s="1"/>
  <c r="X54" i="1"/>
  <c r="T59" i="1"/>
  <c r="E25" i="2" s="1"/>
  <c r="S57" i="1" l="1"/>
  <c r="C26" i="2"/>
  <c r="C28" i="2" s="1"/>
  <c r="C29" i="2" s="1"/>
  <c r="H25" i="2"/>
  <c r="W57" i="1" l="1"/>
  <c r="E9" i="5"/>
  <c r="E11" i="2"/>
  <c r="E11" i="5" l="1"/>
  <c r="E13" i="5"/>
  <c r="G13" i="5" s="1"/>
  <c r="G9" i="5"/>
  <c r="G12" i="2"/>
  <c r="I12" i="2" s="1"/>
  <c r="E19" i="2"/>
  <c r="E21" i="2" s="1"/>
  <c r="E22" i="2" s="1"/>
  <c r="X57" i="1"/>
  <c r="G19" i="2" l="1"/>
  <c r="E26" i="2"/>
  <c r="H19" i="2"/>
  <c r="I19" i="2"/>
  <c r="H26" i="2" l="1"/>
  <c r="E28" i="2"/>
  <c r="E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Tanumeet Kaur</author>
    <author>tc={29732037-58BD-4AE0-B446-E6E128C0C9F9}</author>
  </authors>
  <commentList>
    <comment ref="H13" authorId="0" shapeId="0" xr:uid="{73C09874-C0DC-45E3-8E05-6B1FF3B49389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This no. is from CCCCO Feb 2026 Apportionment- CCC Monthly Payments Schedule by District.</t>
        </r>
      </text>
    </comment>
    <comment ref="H14" authorId="1" shapeId="0" xr:uid="{29732037-58BD-4AE0-B446-E6E128C0C9F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no. is from CCCCO Feb 2026 Apportionment- CCC Monthly Payments Schedule by District.</t>
      </text>
    </comment>
    <comment ref="H15" authorId="0" shapeId="0" xr:uid="{D444D5D9-ED1C-4704-AEFA-031C99FB59F5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Three Yr Average, pls see Lottery PY tab</t>
        </r>
      </text>
    </comment>
    <comment ref="H16" authorId="0" shapeId="0" xr:uid="{7A509EAF-3ECB-42B5-B9B7-959DEF0620CD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This no. is from CCCO Mandate Program </t>
        </r>
      </text>
    </comment>
    <comment ref="H17" authorId="0" shapeId="0" xr:uid="{C7F5DFC7-015D-4ABC-A495-46E05A5B6FD1}">
      <text>
        <r>
          <rPr>
            <b/>
            <sz val="9"/>
            <color indexed="81"/>
            <rFont val="Tahoma"/>
            <charset val="1"/>
          </rPr>
          <t>Tanumeet Kaur:</t>
        </r>
        <r>
          <rPr>
            <sz val="9"/>
            <color indexed="81"/>
            <rFont val="Tahoma"/>
            <charset val="1"/>
          </rPr>
          <t xml:space="preserve">
From Banner for FY 25-26, Sixto yet to update the numbers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tc={62CEDFB8-83EB-47FB-9F82-36236E465A63}</author>
  </authors>
  <commentList>
    <comment ref="B25" authorId="0" shapeId="0" xr:uid="{62CEDFB8-83EB-47FB-9F82-36236E465A63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Reduced by use of DW reserves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tc={BC57BF5E-6A91-4075-8878-06E8E954C51A}</author>
  </authors>
  <commentList>
    <comment ref="B5" authorId="0" shapeId="0" xr:uid="{BC57BF5E-6A91-4075-8878-06E8E954C51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most recent allocation model for current year.</t>
      </text>
    </comment>
  </commentList>
</comments>
</file>

<file path=xl/sharedStrings.xml><?xml version="1.0" encoding="utf-8"?>
<sst xmlns="http://schemas.openxmlformats.org/spreadsheetml/2006/main" count="234" uniqueCount="130">
  <si>
    <t>Kern Community College District: 
College Level SCFF Data</t>
  </si>
  <si>
    <t>District Total</t>
  </si>
  <si>
    <t>Data</t>
  </si>
  <si>
    <t>Funding Rate</t>
  </si>
  <si>
    <t>Estimated Funding</t>
  </si>
  <si>
    <t>% of Total Funding</t>
  </si>
  <si>
    <t>Total Estimated Funding</t>
  </si>
  <si>
    <t>Basic Allocation</t>
  </si>
  <si>
    <t>State Centers</t>
  </si>
  <si>
    <t>Total Basic Allocation</t>
  </si>
  <si>
    <t xml:space="preserve">FTES </t>
  </si>
  <si>
    <t>FTES</t>
  </si>
  <si>
    <t xml:space="preserve">Credit  </t>
  </si>
  <si>
    <t xml:space="preserve">Incarcerated Credit </t>
  </si>
  <si>
    <t>Special Admit Credit</t>
  </si>
  <si>
    <t>CDCP</t>
  </si>
  <si>
    <t>Non Credit</t>
  </si>
  <si>
    <t>Total FTES Revenue</t>
  </si>
  <si>
    <t>Supplemental Allocation</t>
  </si>
  <si>
    <t>AB540 Students</t>
  </si>
  <si>
    <t>Pell Recipients</t>
  </si>
  <si>
    <t>Total Supplemental Allocation</t>
  </si>
  <si>
    <t>Student Success Allocation</t>
  </si>
  <si>
    <t>Associate Degrees for Transfer</t>
  </si>
  <si>
    <t>All Students</t>
  </si>
  <si>
    <t>Associate Degrees</t>
  </si>
  <si>
    <t>Baccalaureate Degrees</t>
  </si>
  <si>
    <t>Credit Certificates</t>
  </si>
  <si>
    <t>Transfer Level Math and English</t>
  </si>
  <si>
    <t>Transfer</t>
  </si>
  <si>
    <t>Nine or More CTE Units</t>
  </si>
  <si>
    <t>Achieved Regional Living Wage</t>
  </si>
  <si>
    <t>Total</t>
  </si>
  <si>
    <t>Pell Grant Recipients Bonus</t>
  </si>
  <si>
    <t>California Promise Grant Recipients Bonus</t>
  </si>
  <si>
    <t>Total Student Success Allocation</t>
  </si>
  <si>
    <t>Total available before Deficit %</t>
  </si>
  <si>
    <t>Available Revenue</t>
  </si>
  <si>
    <t>Kern Community College District</t>
  </si>
  <si>
    <t>Income Description</t>
  </si>
  <si>
    <t>Variance</t>
  </si>
  <si>
    <t>Lottery Revenue</t>
  </si>
  <si>
    <t>Mandated Costs</t>
  </si>
  <si>
    <t>Interest Income</t>
  </si>
  <si>
    <t>Miscellaneous Income</t>
  </si>
  <si>
    <t>Unrestricted Lottery</t>
  </si>
  <si>
    <t>3 yr  avg</t>
  </si>
  <si>
    <t>SCFF</t>
  </si>
  <si>
    <t>Cal Promise Grant Recipients</t>
  </si>
  <si>
    <t>Bakersfield College</t>
  </si>
  <si>
    <t>Cerro Coso Community College</t>
  </si>
  <si>
    <t>Porterville College</t>
  </si>
  <si>
    <t>Y</t>
  </si>
  <si>
    <t>Not For Credit</t>
  </si>
  <si>
    <t>N</t>
  </si>
  <si>
    <t>For Credit</t>
  </si>
  <si>
    <t>PC</t>
  </si>
  <si>
    <t>CC</t>
  </si>
  <si>
    <t>BC</t>
  </si>
  <si>
    <t>Not In State Resident</t>
  </si>
  <si>
    <t>In State Resident</t>
  </si>
  <si>
    <t>CDCP Approved</t>
  </si>
  <si>
    <t>Course Credit Indicator</t>
  </si>
  <si>
    <t>College Code</t>
  </si>
  <si>
    <t>Resident Non Resident</t>
  </si>
  <si>
    <t>Potash</t>
  </si>
  <si>
    <t>CCCC</t>
  </si>
  <si>
    <t>Yr2</t>
  </si>
  <si>
    <t>Yr3</t>
  </si>
  <si>
    <t>Yr4</t>
  </si>
  <si>
    <t>Yr1 22/23</t>
  </si>
  <si>
    <t>PY FTES (resident &amp; non-resident, includes credit and non-credit) Lottery</t>
  </si>
  <si>
    <t>PY FTES (ALL) Interest Income, Misc Income</t>
  </si>
  <si>
    <t>PY Adopted Allocation</t>
  </si>
  <si>
    <t>PY Allocated Income</t>
  </si>
  <si>
    <t>Total GU001 Income to be Allocated</t>
  </si>
  <si>
    <t>District Office</t>
  </si>
  <si>
    <t>District Wide Reserves</t>
  </si>
  <si>
    <t>Imposed Revenue Deficit Percentage</t>
  </si>
  <si>
    <t>Stabilization Calculation</t>
  </si>
  <si>
    <t>Stabilization Baseline</t>
  </si>
  <si>
    <t>Part-Time Faculty Support (Adjunct )</t>
  </si>
  <si>
    <t>Stabilization - KCCD</t>
  </si>
  <si>
    <t>Total Allocation less Basic Allocation</t>
  </si>
  <si>
    <t>2024-25</t>
  </si>
  <si>
    <t>From State Lottery Reports</t>
  </si>
  <si>
    <t>Potash and Forest Reserves have been removed from the allocation and booked directly to the the Colleges.</t>
  </si>
  <si>
    <t>Full-Time Faculty Hiring</t>
  </si>
  <si>
    <t>PY FTES (resident, includes credit/non-credit, &amp; CDCP) FT &amp; PT Faculty, Mandated Costs</t>
  </si>
  <si>
    <t>2025-26</t>
  </si>
  <si>
    <t>* Early College positions (approved on 8/8/2024 BOT meeting) - through December 2025</t>
  </si>
  <si>
    <t>* Porterville Faculty Position</t>
  </si>
  <si>
    <t>* Porterville Fitness Center</t>
  </si>
  <si>
    <r>
      <t>Stabilization (</t>
    </r>
    <r>
      <rPr>
        <sz val="11"/>
        <color rgb="FFFF0000"/>
        <rFont val="Calibri"/>
        <family val="2"/>
        <scheme val="minor"/>
      </rPr>
      <t>if negative number</t>
    </r>
    <r>
      <rPr>
        <sz val="11"/>
        <color theme="1"/>
        <rFont val="Calibri"/>
        <family val="2"/>
        <scheme val="minor"/>
      </rPr>
      <t>)</t>
    </r>
  </si>
  <si>
    <r>
      <t xml:space="preserve">Total Allocation </t>
    </r>
    <r>
      <rPr>
        <sz val="8"/>
        <color theme="1"/>
        <rFont val="Calibri"/>
        <family val="2"/>
        <scheme val="minor"/>
      </rPr>
      <t>(including stabilization, if appropriate)</t>
    </r>
  </si>
  <si>
    <t xml:space="preserve">State Apportionment Funding </t>
  </si>
  <si>
    <t>Headcount</t>
  </si>
  <si>
    <t>Three-Year Average Headcount</t>
  </si>
  <si>
    <t>KCCD</t>
  </si>
  <si>
    <t>SCFF Calculation</t>
  </si>
  <si>
    <t>COLA</t>
  </si>
  <si>
    <t>Increase (Decrease) from PY</t>
  </si>
  <si>
    <t>Increase (Decrease) from PY - %</t>
  </si>
  <si>
    <t>District Office Budget (Chargebacks)</t>
  </si>
  <si>
    <t>PY Allocated - After Chargebacks</t>
  </si>
  <si>
    <t>CY Allocation - After Chargebacks</t>
  </si>
  <si>
    <r>
      <rPr>
        <b/>
        <sz val="12"/>
        <color rgb="FFCC0000"/>
        <rFont val="Aptos"/>
        <family val="2"/>
      </rPr>
      <t>Tentative</t>
    </r>
    <r>
      <rPr>
        <b/>
        <sz val="12"/>
        <rFont val="Aptos"/>
        <family val="2"/>
      </rPr>
      <t xml:space="preserve"> Allocation</t>
    </r>
  </si>
  <si>
    <t>2023-24</t>
  </si>
  <si>
    <t>No</t>
  </si>
  <si>
    <t>Yes</t>
  </si>
  <si>
    <r>
      <t xml:space="preserve">PY Stabilization </t>
    </r>
    <r>
      <rPr>
        <sz val="10"/>
        <color theme="1"/>
        <rFont val="Calibri"/>
        <family val="2"/>
        <scheme val="minor"/>
      </rPr>
      <t>(max 2 years - per allocation model)</t>
    </r>
    <r>
      <rPr>
        <sz val="11"/>
        <color theme="1"/>
        <rFont val="Calibri"/>
        <family val="2"/>
        <scheme val="minor"/>
      </rPr>
      <t>:</t>
    </r>
  </si>
  <si>
    <t>2025-26 (current model)</t>
  </si>
  <si>
    <t>Total FTES</t>
  </si>
  <si>
    <t>v2 based on v5 of KCCD budget</t>
  </si>
  <si>
    <t>Additional transfers related to one-time funding are not included in the revenue allocation, but are a direct transfer from DW Reserves to the colleges.  
These are included in the District Office Budget and District Wide Reserves:</t>
  </si>
  <si>
    <t>"Total" from P1 total</t>
  </si>
  <si>
    <t>these are the percentages from P2 and we used these percentages to distributed P1 totals.</t>
  </si>
  <si>
    <r>
      <rPr>
        <b/>
        <sz val="12"/>
        <color rgb="FFCC0000"/>
        <rFont val="Aptos"/>
        <family val="2"/>
      </rPr>
      <t>Adopted</t>
    </r>
    <r>
      <rPr>
        <b/>
        <sz val="12"/>
        <rFont val="Aptos"/>
        <family val="2"/>
      </rPr>
      <t xml:space="preserve"> Allocation</t>
    </r>
  </si>
  <si>
    <t>v1 based on v3 of KCCD adopted budget</t>
  </si>
  <si>
    <t>2026-27 Assigned COLA</t>
  </si>
  <si>
    <t>2026-27 SCFF Allocation</t>
  </si>
  <si>
    <t>2026-27 SCFF Allocation with stabilization</t>
  </si>
  <si>
    <t>2026-27</t>
  </si>
  <si>
    <r>
      <t xml:space="preserve">SCFF Data for District Funding P1-2025-26 </t>
    </r>
    <r>
      <rPr>
        <b/>
        <u/>
        <sz val="16"/>
        <color rgb="FFFF0000"/>
        <rFont val="Calibri"/>
        <family val="2"/>
        <scheme val="minor"/>
      </rPr>
      <t>using KCCD P1 FTES</t>
    </r>
  </si>
  <si>
    <t>1. Professional Expert( Grant Writing)</t>
  </si>
  <si>
    <t>2. Automation &amp; System Upgrade</t>
  </si>
  <si>
    <t>3. Finance System Modernaization and Automation</t>
  </si>
  <si>
    <t>4. Professional Development</t>
  </si>
  <si>
    <t>District wide Reserves includes one time request:-</t>
  </si>
  <si>
    <t>The P2 is not avaibale till April 20, 2024 for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</si>
</sst>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_);_(&quot;$&quot;* \(#,##0.0\);_(&quot;$&quot;* &quot;-&quot;??_);_(@_)"/>
    <numFmt numFmtId="168" formatCode="#,##0.00;\-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AD1F2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u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/>
      <name val="Book Antiqua"/>
      <family val="1"/>
    </font>
    <font>
      <u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u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name val="Arial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Aptos"/>
      <family val="2"/>
    </font>
    <font>
      <sz val="12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2"/>
      <color theme="1"/>
      <name val="Aptos"/>
      <family val="2"/>
    </font>
    <font>
      <b/>
      <sz val="12"/>
      <color rgb="FFCC0000"/>
      <name val="Aptos"/>
      <family val="2"/>
    </font>
    <font>
      <sz val="10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B8312B"/>
        <bgColor indexed="64"/>
      </patternFill>
    </fill>
    <fill>
      <patternFill patternType="solid">
        <fgColor rgb="FF12294B"/>
        <bgColor indexed="64"/>
      </patternFill>
    </fill>
    <fill>
      <patternFill patternType="solid">
        <fgColor rgb="FFAD1F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9" tint="-0.499984740745262"/>
      </left>
      <right/>
      <top/>
      <bottom style="medium">
        <color theme="1"/>
      </bottom>
      <diagonal/>
    </border>
    <border>
      <left style="hair">
        <color theme="1"/>
      </left>
      <right/>
      <top/>
      <bottom style="medium">
        <color indexed="64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theme="1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9" tint="-0.499984740745262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/>
      <top/>
      <bottom style="hair">
        <color indexed="64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9" tint="-0.499984740745262"/>
      </right>
      <top/>
      <bottom style="hair">
        <color indexed="64"/>
      </bottom>
      <diagonal/>
    </border>
    <border>
      <left style="thin">
        <color theme="9" tint="-0.499984740745262"/>
      </left>
      <right style="hair">
        <color theme="1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hair">
        <color theme="1"/>
      </right>
      <top/>
      <bottom style="medium">
        <color auto="1"/>
      </bottom>
      <diagonal/>
    </border>
    <border>
      <left style="hair">
        <color theme="1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338">
    <xf numFmtId="0" fontId="0" fillId="0" borderId="0" xfId="0"/>
    <xf numFmtId="164" fontId="0" fillId="0" borderId="0" xfId="2" applyNumberFormat="1" applyFont="1"/>
    <xf numFmtId="0" fontId="0" fillId="2" borderId="0" xfId="0" applyFill="1"/>
    <xf numFmtId="0" fontId="3" fillId="2" borderId="0" xfId="0" applyFont="1" applyFill="1"/>
    <xf numFmtId="164" fontId="0" fillId="2" borderId="0" xfId="2" applyNumberFormat="1" applyFont="1" applyFill="1"/>
    <xf numFmtId="0" fontId="0" fillId="3" borderId="0" xfId="0" applyFill="1"/>
    <xf numFmtId="164" fontId="0" fillId="3" borderId="0" xfId="2" applyNumberFormat="1" applyFont="1" applyFill="1"/>
    <xf numFmtId="0" fontId="0" fillId="4" borderId="0" xfId="0" applyFill="1"/>
    <xf numFmtId="0" fontId="0" fillId="5" borderId="0" xfId="0" applyFill="1"/>
    <xf numFmtId="0" fontId="8" fillId="3" borderId="0" xfId="0" applyFont="1" applyFill="1" applyAlignment="1">
      <alignment horizontal="center" textRotation="9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164" fontId="0" fillId="0" borderId="2" xfId="2" applyNumberFormat="1" applyFont="1" applyBorder="1"/>
    <xf numFmtId="164" fontId="6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textRotation="90"/>
    </xf>
    <xf numFmtId="0" fontId="10" fillId="0" borderId="2" xfId="0" applyFont="1" applyBorder="1"/>
    <xf numFmtId="0" fontId="1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0" borderId="3" xfId="2" applyNumberFormat="1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164" fontId="2" fillId="0" borderId="6" xfId="2" applyNumberFormat="1" applyFont="1" applyFill="1" applyBorder="1" applyAlignment="1">
      <alignment horizontal="center" wrapText="1"/>
    </xf>
    <xf numFmtId="164" fontId="2" fillId="0" borderId="1" xfId="2" applyNumberFormat="1" applyFont="1" applyFill="1" applyBorder="1" applyAlignment="1">
      <alignment horizontal="center" wrapText="1"/>
    </xf>
    <xf numFmtId="10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9" fontId="15" fillId="0" borderId="0" xfId="3" applyFont="1" applyFill="1" applyBorder="1" applyAlignment="1">
      <alignment horizontal="center" vertical="center" wrapText="1"/>
    </xf>
    <xf numFmtId="9" fontId="16" fillId="0" borderId="0" xfId="3" applyFont="1" applyFill="1" applyBorder="1" applyAlignment="1"/>
    <xf numFmtId="164" fontId="16" fillId="0" borderId="0" xfId="2" applyNumberFormat="1" applyFont="1" applyFill="1" applyBorder="1" applyAlignment="1"/>
    <xf numFmtId="9" fontId="15" fillId="0" borderId="0" xfId="3" applyFont="1" applyFill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9" fontId="15" fillId="0" borderId="3" xfId="3" applyFont="1" applyFill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Border="1"/>
    <xf numFmtId="0" fontId="17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/>
    </xf>
    <xf numFmtId="9" fontId="15" fillId="0" borderId="6" xfId="3" applyFont="1" applyFill="1" applyBorder="1" applyAlignment="1">
      <alignment vertical="center" wrapText="1"/>
    </xf>
    <xf numFmtId="10" fontId="16" fillId="0" borderId="1" xfId="3" applyNumberFormat="1" applyFont="1" applyFill="1" applyBorder="1" applyAlignment="1">
      <alignment horizontal="center" vertical="center"/>
    </xf>
    <xf numFmtId="164" fontId="16" fillId="0" borderId="1" xfId="2" applyNumberFormat="1" applyFont="1" applyFill="1" applyBorder="1" applyAlignment="1"/>
    <xf numFmtId="164" fontId="2" fillId="0" borderId="1" xfId="2" applyNumberFormat="1" applyFont="1" applyFill="1" applyBorder="1" applyAlignment="1">
      <alignment wrapText="1"/>
    </xf>
    <xf numFmtId="0" fontId="1" fillId="2" borderId="0" xfId="0" applyFont="1" applyFill="1"/>
    <xf numFmtId="44" fontId="1" fillId="0" borderId="1" xfId="0" applyNumberFormat="1" applyFont="1" applyBorder="1"/>
    <xf numFmtId="164" fontId="2" fillId="0" borderId="7" xfId="2" applyNumberFormat="1" applyFont="1" applyFill="1" applyBorder="1" applyAlignment="1"/>
    <xf numFmtId="0" fontId="1" fillId="0" borderId="1" xfId="0" applyFont="1" applyBorder="1"/>
    <xf numFmtId="0" fontId="1" fillId="3" borderId="0" xfId="0" applyFont="1" applyFill="1"/>
    <xf numFmtId="0" fontId="1" fillId="4" borderId="0" xfId="0" applyFont="1" applyFill="1"/>
    <xf numFmtId="0" fontId="0" fillId="0" borderId="1" xfId="0" applyBorder="1"/>
    <xf numFmtId="164" fontId="16" fillId="0" borderId="1" xfId="3" applyNumberFormat="1" applyFont="1" applyFill="1" applyBorder="1" applyAlignment="1">
      <alignment wrapText="1"/>
    </xf>
    <xf numFmtId="164" fontId="2" fillId="0" borderId="1" xfId="2" applyNumberFormat="1" applyFont="1" applyBorder="1"/>
    <xf numFmtId="0" fontId="5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0" fontId="15" fillId="0" borderId="8" xfId="3" applyNumberFormat="1" applyFont="1" applyFill="1" applyBorder="1" applyAlignment="1">
      <alignment horizontal="center" vertical="center"/>
    </xf>
    <xf numFmtId="10" fontId="16" fillId="0" borderId="0" xfId="3" applyNumberFormat="1" applyFont="1" applyFill="1" applyBorder="1" applyAlignment="1"/>
    <xf numFmtId="164" fontId="16" fillId="0" borderId="8" xfId="2" applyNumberFormat="1" applyFont="1" applyFill="1" applyBorder="1" applyAlignment="1"/>
    <xf numFmtId="10" fontId="15" fillId="0" borderId="0" xfId="3" applyNumberFormat="1" applyFont="1" applyFill="1" applyBorder="1" applyAlignment="1">
      <alignment horizontal="center" vertical="center"/>
    </xf>
    <xf numFmtId="0" fontId="0" fillId="0" borderId="8" xfId="0" applyBorder="1"/>
    <xf numFmtId="43" fontId="16" fillId="0" borderId="3" xfId="1" applyFont="1" applyFill="1" applyBorder="1" applyAlignment="1">
      <alignment horizontal="right"/>
    </xf>
    <xf numFmtId="165" fontId="16" fillId="0" borderId="0" xfId="1" applyNumberFormat="1" applyFont="1" applyFill="1" applyBorder="1" applyAlignment="1"/>
    <xf numFmtId="44" fontId="16" fillId="0" borderId="9" xfId="2" applyFont="1" applyFill="1" applyBorder="1" applyAlignment="1"/>
    <xf numFmtId="0" fontId="16" fillId="2" borderId="0" xfId="0" applyFont="1" applyFill="1"/>
    <xf numFmtId="43" fontId="16" fillId="0" borderId="0" xfId="1" applyFont="1" applyFill="1" applyBorder="1" applyAlignment="1" applyProtection="1">
      <protection locked="0"/>
    </xf>
    <xf numFmtId="164" fontId="16" fillId="0" borderId="10" xfId="2" applyNumberFormat="1" applyFont="1" applyFill="1" applyBorder="1" applyAlignment="1"/>
    <xf numFmtId="166" fontId="16" fillId="0" borderId="0" xfId="3" applyNumberFormat="1" applyFont="1" applyFill="1"/>
    <xf numFmtId="166" fontId="16" fillId="3" borderId="0" xfId="3" applyNumberFormat="1" applyFont="1" applyFill="1" applyBorder="1"/>
    <xf numFmtId="0" fontId="16" fillId="4" borderId="0" xfId="0" applyFont="1" applyFill="1"/>
    <xf numFmtId="0" fontId="16" fillId="5" borderId="0" xfId="0" applyFont="1" applyFill="1"/>
    <xf numFmtId="164" fontId="16" fillId="0" borderId="0" xfId="2" applyNumberFormat="1" applyFont="1"/>
    <xf numFmtId="43" fontId="16" fillId="0" borderId="3" xfId="1" applyFont="1" applyFill="1" applyBorder="1" applyAlignment="1"/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19" fillId="0" borderId="13" xfId="0" applyNumberFormat="1" applyFont="1" applyBorder="1" applyAlignment="1">
      <alignment horizontal="right" vertical="center" wrapText="1"/>
    </xf>
    <xf numFmtId="165" fontId="19" fillId="0" borderId="14" xfId="1" applyNumberFormat="1" applyFont="1" applyFill="1" applyBorder="1" applyAlignment="1">
      <alignment vertical="center"/>
    </xf>
    <xf numFmtId="164" fontId="1" fillId="0" borderId="9" xfId="2" applyNumberFormat="1" applyFont="1" applyFill="1" applyBorder="1" applyAlignment="1">
      <alignment vertical="center"/>
    </xf>
    <xf numFmtId="164" fontId="19" fillId="0" borderId="15" xfId="2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5" fontId="19" fillId="0" borderId="12" xfId="0" applyNumberFormat="1" applyFont="1" applyBorder="1" applyAlignment="1">
      <alignment horizontal="right" vertical="center" wrapText="1"/>
    </xf>
    <xf numFmtId="164" fontId="2" fillId="0" borderId="16" xfId="2" applyNumberFormat="1" applyFont="1" applyFill="1" applyBorder="1" applyAlignment="1">
      <alignment vertical="center"/>
    </xf>
    <xf numFmtId="166" fontId="2" fillId="0" borderId="1" xfId="3" applyNumberFormat="1" applyFont="1" applyFill="1" applyBorder="1" applyAlignment="1">
      <alignment vertical="center"/>
    </xf>
    <xf numFmtId="166" fontId="2" fillId="3" borderId="0" xfId="3" applyNumberFormat="1" applyFont="1" applyFill="1" applyBorder="1" applyAlignment="1">
      <alignment vertical="center"/>
    </xf>
    <xf numFmtId="165" fontId="19" fillId="0" borderId="17" xfId="0" applyNumberFormat="1" applyFont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164" fontId="2" fillId="0" borderId="10" xfId="2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9" fillId="0" borderId="2" xfId="0" applyFont="1" applyBorder="1"/>
    <xf numFmtId="0" fontId="19" fillId="0" borderId="0" xfId="0" applyFont="1" applyAlignment="1">
      <alignment horizontal="right" vertical="center" wrapText="1"/>
    </xf>
    <xf numFmtId="0" fontId="19" fillId="0" borderId="18" xfId="0" applyFont="1" applyBorder="1" applyAlignment="1">
      <alignment horizontal="right" vertical="center" wrapText="1"/>
    </xf>
    <xf numFmtId="9" fontId="15" fillId="0" borderId="2" xfId="3" quotePrefix="1" applyFont="1" applyFill="1" applyBorder="1" applyAlignment="1">
      <alignment horizontal="center" vertical="center"/>
    </xf>
    <xf numFmtId="166" fontId="19" fillId="0" borderId="18" xfId="3" applyNumberFormat="1" applyFont="1" applyFill="1" applyBorder="1" applyAlignment="1">
      <alignment vertical="center"/>
    </xf>
    <xf numFmtId="164" fontId="16" fillId="0" borderId="2" xfId="2" applyNumberFormat="1" applyFont="1" applyFill="1" applyBorder="1" applyAlignment="1"/>
    <xf numFmtId="164" fontId="16" fillId="0" borderId="18" xfId="2" applyNumberFormat="1" applyFont="1" applyFill="1" applyBorder="1" applyAlignment="1"/>
    <xf numFmtId="166" fontId="0" fillId="0" borderId="0" xfId="3" applyNumberFormat="1" applyFont="1" applyFill="1"/>
    <xf numFmtId="166" fontId="0" fillId="3" borderId="0" xfId="3" applyNumberFormat="1" applyFont="1" applyFill="1" applyBorder="1"/>
    <xf numFmtId="166" fontId="0" fillId="0" borderId="2" xfId="3" applyNumberFormat="1" applyFont="1" applyFill="1" applyBorder="1"/>
    <xf numFmtId="0" fontId="16" fillId="0" borderId="4" xfId="0" applyFont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165" fontId="16" fillId="0" borderId="19" xfId="1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9" fillId="0" borderId="15" xfId="0" applyNumberFormat="1" applyFont="1" applyBorder="1" applyAlignment="1">
      <alignment horizontal="right" vertical="center" wrapText="1"/>
    </xf>
    <xf numFmtId="165" fontId="19" fillId="0" borderId="20" xfId="3" applyNumberFormat="1" applyFont="1" applyFill="1" applyBorder="1" applyAlignment="1">
      <alignment vertical="center"/>
    </xf>
    <xf numFmtId="164" fontId="2" fillId="0" borderId="6" xfId="2" applyNumberFormat="1" applyFont="1" applyFill="1" applyBorder="1" applyAlignment="1">
      <alignment vertical="center"/>
    </xf>
    <xf numFmtId="165" fontId="19" fillId="0" borderId="12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20" fillId="0" borderId="18" xfId="0" quotePrefix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6" fontId="0" fillId="3" borderId="0" xfId="3" applyNumberFormat="1" applyFont="1" applyFill="1"/>
    <xf numFmtId="164" fontId="0" fillId="0" borderId="2" xfId="0" applyNumberFormat="1" applyBorder="1"/>
    <xf numFmtId="43" fontId="16" fillId="0" borderId="0" xfId="1" applyFont="1" applyFill="1" applyBorder="1" applyAlignment="1"/>
    <xf numFmtId="43" fontId="16" fillId="0" borderId="11" xfId="1" applyFont="1" applyFill="1" applyBorder="1" applyAlignment="1" applyProtection="1">
      <alignment vertical="top"/>
      <protection locked="0"/>
    </xf>
    <xf numFmtId="43" fontId="16" fillId="0" borderId="0" xfId="1" applyFont="1" applyFill="1" applyBorder="1" applyAlignment="1" applyProtection="1">
      <alignment vertical="top"/>
      <protection locked="0"/>
    </xf>
    <xf numFmtId="43" fontId="16" fillId="5" borderId="0" xfId="0" applyNumberFormat="1" applyFont="1" applyFill="1"/>
    <xf numFmtId="43" fontId="16" fillId="0" borderId="0" xfId="1" applyFont="1" applyFill="1" applyBorder="1" applyAlignment="1" applyProtection="1"/>
    <xf numFmtId="0" fontId="16" fillId="0" borderId="0" xfId="0" applyFont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9" fillId="0" borderId="24" xfId="1" applyNumberFormat="1" applyFont="1" applyFill="1" applyBorder="1" applyAlignment="1">
      <alignment vertical="top" wrapText="1"/>
    </xf>
    <xf numFmtId="165" fontId="2" fillId="0" borderId="22" xfId="1" applyNumberFormat="1" applyFont="1" applyFill="1" applyBorder="1" applyAlignment="1"/>
    <xf numFmtId="44" fontId="2" fillId="0" borderId="25" xfId="2" applyFont="1" applyFill="1" applyBorder="1" applyAlignment="1"/>
    <xf numFmtId="164" fontId="2" fillId="0" borderId="26" xfId="2" applyNumberFormat="1" applyFont="1" applyFill="1" applyBorder="1" applyAlignment="1"/>
    <xf numFmtId="0" fontId="2" fillId="2" borderId="0" xfId="0" applyFont="1" applyFill="1"/>
    <xf numFmtId="165" fontId="19" fillId="0" borderId="27" xfId="1" applyNumberFormat="1" applyFont="1" applyFill="1" applyBorder="1" applyAlignment="1">
      <alignment horizontal="right" vertical="top" wrapText="1"/>
    </xf>
    <xf numFmtId="164" fontId="2" fillId="0" borderId="28" xfId="2" applyNumberFormat="1" applyFont="1" applyFill="1" applyBorder="1" applyAlignment="1"/>
    <xf numFmtId="166" fontId="2" fillId="0" borderId="22" xfId="3" applyNumberFormat="1" applyFont="1" applyFill="1" applyBorder="1" applyAlignment="1"/>
    <xf numFmtId="166" fontId="2" fillId="3" borderId="0" xfId="3" applyNumberFormat="1" applyFont="1" applyFill="1" applyBorder="1" applyAlignment="1"/>
    <xf numFmtId="165" fontId="19" fillId="0" borderId="22" xfId="1" applyNumberFormat="1" applyFont="1" applyFill="1" applyBorder="1" applyAlignment="1">
      <alignment horizontal="right" vertical="top" wrapText="1"/>
    </xf>
    <xf numFmtId="0" fontId="2" fillId="4" borderId="0" xfId="0" applyFont="1" applyFill="1"/>
    <xf numFmtId="43" fontId="2" fillId="5" borderId="0" xfId="0" applyNumberFormat="1" applyFont="1" applyFill="1"/>
    <xf numFmtId="164" fontId="2" fillId="0" borderId="22" xfId="2" applyNumberFormat="1" applyFont="1" applyBorder="1"/>
    <xf numFmtId="0" fontId="16" fillId="0" borderId="4" xfId="0" applyFont="1" applyBorder="1" applyAlignment="1">
      <alignment vertical="center" wrapText="1"/>
    </xf>
    <xf numFmtId="165" fontId="16" fillId="0" borderId="0" xfId="1" applyNumberFormat="1" applyFont="1" applyFill="1" applyBorder="1" applyAlignment="1" applyProtection="1"/>
    <xf numFmtId="164" fontId="16" fillId="0" borderId="0" xfId="2" applyNumberFormat="1" applyFont="1" applyBorder="1"/>
    <xf numFmtId="43" fontId="19" fillId="0" borderId="27" xfId="1" applyFont="1" applyFill="1" applyBorder="1" applyAlignment="1">
      <alignment horizontal="right" vertical="top" wrapText="1"/>
    </xf>
    <xf numFmtId="43" fontId="19" fillId="0" borderId="22" xfId="1" applyFont="1" applyFill="1" applyBorder="1" applyAlignment="1">
      <alignment horizontal="right" vertical="top" wrapText="1"/>
    </xf>
    <xf numFmtId="43" fontId="16" fillId="0" borderId="31" xfId="1" applyFont="1" applyFill="1" applyBorder="1" applyAlignment="1" applyProtection="1">
      <alignment vertical="top"/>
      <protection locked="0"/>
    </xf>
    <xf numFmtId="166" fontId="16" fillId="3" borderId="0" xfId="3" applyNumberFormat="1" applyFont="1" applyFill="1"/>
    <xf numFmtId="165" fontId="2" fillId="0" borderId="22" xfId="3" applyNumberFormat="1" applyFont="1" applyFill="1" applyBorder="1" applyAlignment="1"/>
    <xf numFmtId="165" fontId="19" fillId="0" borderId="22" xfId="1" applyNumberFormat="1" applyFont="1" applyFill="1" applyBorder="1" applyAlignment="1">
      <alignment vertical="top" wrapText="1"/>
    </xf>
    <xf numFmtId="0" fontId="7" fillId="0" borderId="29" xfId="0" applyFont="1" applyBorder="1" applyAlignment="1">
      <alignment vertical="center"/>
    </xf>
    <xf numFmtId="165" fontId="19" fillId="0" borderId="33" xfId="1" applyNumberFormat="1" applyFont="1" applyFill="1" applyBorder="1" applyAlignment="1">
      <alignment horizontal="right" vertical="center" wrapText="1"/>
    </xf>
    <xf numFmtId="165" fontId="19" fillId="0" borderId="1" xfId="3" applyNumberFormat="1" applyFont="1" applyFill="1" applyBorder="1" applyAlignment="1">
      <alignment vertical="center"/>
    </xf>
    <xf numFmtId="164" fontId="16" fillId="0" borderId="32" xfId="2" applyNumberFormat="1" applyFont="1" applyFill="1" applyBorder="1" applyAlignment="1">
      <alignment vertical="center"/>
    </xf>
    <xf numFmtId="164" fontId="2" fillId="0" borderId="32" xfId="2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5" fontId="19" fillId="0" borderId="34" xfId="1" applyNumberFormat="1" applyFont="1" applyFill="1" applyBorder="1" applyAlignment="1">
      <alignment horizontal="right" vertical="center" wrapText="1"/>
    </xf>
    <xf numFmtId="166" fontId="17" fillId="3" borderId="0" xfId="3" applyNumberFormat="1" applyFont="1" applyFill="1" applyBorder="1" applyAlignment="1">
      <alignment vertical="center"/>
    </xf>
    <xf numFmtId="165" fontId="19" fillId="0" borderId="1" xfId="1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vertical="center"/>
    </xf>
    <xf numFmtId="43" fontId="0" fillId="5" borderId="0" xfId="0" applyNumberFormat="1" applyFill="1"/>
    <xf numFmtId="165" fontId="19" fillId="0" borderId="32" xfId="1" applyNumberFormat="1" applyFont="1" applyFill="1" applyBorder="1" applyAlignment="1">
      <alignment horizontal="right" vertical="center" wrapText="1"/>
    </xf>
    <xf numFmtId="164" fontId="19" fillId="0" borderId="1" xfId="2" applyNumberFormat="1" applyFont="1" applyFill="1" applyBorder="1" applyAlignment="1">
      <alignment horizontal="right" vertical="center" wrapText="1"/>
    </xf>
    <xf numFmtId="167" fontId="0" fillId="0" borderId="2" xfId="2" applyNumberFormat="1" applyFont="1" applyFill="1" applyBorder="1" applyAlignment="1">
      <alignment horizontal="right"/>
    </xf>
    <xf numFmtId="164" fontId="2" fillId="0" borderId="2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6" fontId="2" fillId="0" borderId="21" xfId="3" applyNumberFormat="1" applyFont="1" applyFill="1" applyBorder="1" applyAlignment="1"/>
    <xf numFmtId="164" fontId="2" fillId="0" borderId="35" xfId="2" applyNumberFormat="1" applyFont="1" applyFill="1" applyBorder="1" applyAlignment="1">
      <alignment vertical="center"/>
    </xf>
    <xf numFmtId="164" fontId="2" fillId="0" borderId="2" xfId="2" applyNumberFormat="1" applyFont="1" applyBorder="1"/>
    <xf numFmtId="167" fontId="0" fillId="0" borderId="1" xfId="2" applyNumberFormat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Border="1" applyAlignment="1">
      <alignment horizontal="right"/>
    </xf>
    <xf numFmtId="166" fontId="2" fillId="0" borderId="1" xfId="3" applyNumberFormat="1" applyFont="1" applyFill="1" applyBorder="1" applyAlignme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67" fontId="0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vertical="center"/>
    </xf>
    <xf numFmtId="166" fontId="2" fillId="0" borderId="0" xfId="3" applyNumberFormat="1" applyFont="1" applyFill="1" applyBorder="1" applyAlignment="1"/>
    <xf numFmtId="0" fontId="0" fillId="0" borderId="36" xfId="0" applyBorder="1"/>
    <xf numFmtId="164" fontId="2" fillId="0" borderId="36" xfId="2" applyNumberFormat="1" applyFont="1" applyBorder="1" applyAlignment="1">
      <alignment horizontal="right"/>
    </xf>
    <xf numFmtId="0" fontId="2" fillId="0" borderId="36" xfId="0" applyFont="1" applyBorder="1"/>
    <xf numFmtId="10" fontId="0" fillId="0" borderId="0" xfId="3" applyNumberFormat="1" applyFont="1"/>
    <xf numFmtId="164" fontId="2" fillId="0" borderId="36" xfId="2" applyNumberFormat="1" applyFont="1" applyFill="1" applyBorder="1" applyAlignment="1"/>
    <xf numFmtId="0" fontId="2" fillId="3" borderId="0" xfId="0" applyFont="1" applyFill="1"/>
    <xf numFmtId="43" fontId="17" fillId="5" borderId="0" xfId="0" applyNumberFormat="1" applyFont="1" applyFill="1"/>
    <xf numFmtId="164" fontId="2" fillId="0" borderId="36" xfId="2" applyNumberFormat="1" applyFont="1" applyBorder="1"/>
    <xf numFmtId="164" fontId="21" fillId="0" borderId="0" xfId="2" applyNumberFormat="1" applyFont="1" applyBorder="1"/>
    <xf numFmtId="0" fontId="21" fillId="4" borderId="0" xfId="0" applyFont="1" applyFill="1"/>
    <xf numFmtId="0" fontId="21" fillId="0" borderId="0" xfId="0" applyFont="1"/>
    <xf numFmtId="0" fontId="21" fillId="3" borderId="0" xfId="0" applyFont="1" applyFill="1"/>
    <xf numFmtId="43" fontId="22" fillId="5" borderId="0" xfId="0" applyNumberFormat="1" applyFont="1" applyFill="1"/>
    <xf numFmtId="165" fontId="0" fillId="0" borderId="0" xfId="0" applyNumberFormat="1"/>
    <xf numFmtId="165" fontId="0" fillId="0" borderId="0" xfId="1" applyNumberFormat="1" applyFont="1"/>
    <xf numFmtId="165" fontId="0" fillId="0" borderId="36" xfId="1" applyNumberFormat="1" applyFont="1" applyBorder="1"/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4" fillId="0" borderId="0" xfId="0" applyFont="1"/>
    <xf numFmtId="43" fontId="24" fillId="0" borderId="0" xfId="1" applyFont="1"/>
    <xf numFmtId="0" fontId="24" fillId="0" borderId="0" xfId="0" quotePrefix="1" applyFont="1" applyAlignment="1">
      <alignment horizontal="left" vertical="top"/>
    </xf>
    <xf numFmtId="0" fontId="24" fillId="0" borderId="0" xfId="0" quotePrefix="1" applyFont="1" applyAlignment="1">
      <alignment horizontal="center"/>
    </xf>
    <xf numFmtId="0" fontId="24" fillId="0" borderId="0" xfId="0" quotePrefix="1" applyFont="1" applyAlignment="1">
      <alignment horizontal="left"/>
    </xf>
    <xf numFmtId="43" fontId="24" fillId="0" borderId="0" xfId="0" applyNumberFormat="1" applyFont="1"/>
    <xf numFmtId="43" fontId="24" fillId="0" borderId="36" xfId="1" applyFont="1" applyBorder="1"/>
    <xf numFmtId="166" fontId="24" fillId="0" borderId="0" xfId="3" applyNumberFormat="1" applyFont="1"/>
    <xf numFmtId="166" fontId="16" fillId="0" borderId="0" xfId="3" applyNumberFormat="1" applyFont="1" applyFill="1" applyBorder="1" applyAlignment="1"/>
    <xf numFmtId="0" fontId="24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/>
    </xf>
    <xf numFmtId="166" fontId="0" fillId="0" borderId="0" xfId="3" applyNumberFormat="1" applyFont="1"/>
    <xf numFmtId="164" fontId="21" fillId="0" borderId="0" xfId="2" applyNumberFormat="1" applyFont="1" applyFill="1" applyBorder="1"/>
    <xf numFmtId="0" fontId="24" fillId="6" borderId="0" xfId="0" applyFont="1" applyFill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27" fillId="0" borderId="0" xfId="0" applyFont="1"/>
    <xf numFmtId="43" fontId="18" fillId="0" borderId="11" xfId="1" applyFont="1" applyBorder="1" applyAlignment="1" applyProtection="1">
      <alignment horizontal="center" vertical="center" wrapText="1"/>
      <protection locked="0"/>
    </xf>
    <xf numFmtId="43" fontId="19" fillId="0" borderId="1" xfId="0" applyNumberFormat="1" applyFont="1" applyBorder="1" applyAlignment="1">
      <alignment horizontal="right" vertical="center" wrapText="1"/>
    </xf>
    <xf numFmtId="168" fontId="24" fillId="0" borderId="0" xfId="0" applyNumberFormat="1" applyFont="1" applyAlignment="1">
      <alignment vertical="center"/>
    </xf>
    <xf numFmtId="168" fontId="24" fillId="0" borderId="0" xfId="0" applyNumberFormat="1" applyFont="1"/>
    <xf numFmtId="43" fontId="0" fillId="0" borderId="0" xfId="0" applyNumberFormat="1"/>
    <xf numFmtId="165" fontId="0" fillId="0" borderId="0" xfId="1" applyNumberFormat="1" applyFont="1" applyBorder="1"/>
    <xf numFmtId="0" fontId="30" fillId="0" borderId="0" xfId="0" applyFont="1"/>
    <xf numFmtId="165" fontId="31" fillId="0" borderId="0" xfId="1" applyNumberFormat="1" applyFont="1"/>
    <xf numFmtId="0" fontId="32" fillId="0" borderId="0" xfId="0" applyFont="1" applyAlignment="1">
      <alignment horizontal="right"/>
    </xf>
    <xf numFmtId="0" fontId="33" fillId="0" borderId="0" xfId="0" applyFont="1"/>
    <xf numFmtId="165" fontId="34" fillId="0" borderId="45" xfId="1" applyNumberFormat="1" applyFont="1" applyBorder="1" applyAlignment="1">
      <alignment horizontal="center"/>
    </xf>
    <xf numFmtId="0" fontId="34" fillId="0" borderId="38" xfId="0" applyFont="1" applyBorder="1" applyAlignment="1">
      <alignment horizontal="center" wrapText="1"/>
    </xf>
    <xf numFmtId="165" fontId="34" fillId="0" borderId="39" xfId="1" applyNumberFormat="1" applyFont="1" applyBorder="1" applyAlignment="1">
      <alignment horizontal="center" wrapText="1"/>
    </xf>
    <xf numFmtId="0" fontId="34" fillId="0" borderId="40" xfId="0" applyFont="1" applyBorder="1" applyAlignment="1">
      <alignment horizontal="center" wrapText="1"/>
    </xf>
    <xf numFmtId="0" fontId="34" fillId="0" borderId="41" xfId="0" applyFont="1" applyBorder="1" applyAlignment="1">
      <alignment horizontal="center" wrapText="1"/>
    </xf>
    <xf numFmtId="165" fontId="34" fillId="0" borderId="0" xfId="1" applyNumberFormat="1" applyFont="1" applyFill="1" applyBorder="1" applyAlignment="1">
      <alignment horizontal="center" wrapText="1"/>
    </xf>
    <xf numFmtId="165" fontId="35" fillId="0" borderId="42" xfId="0" applyNumberFormat="1" applyFont="1" applyBorder="1" applyAlignment="1">
      <alignment horizontal="center" wrapText="1"/>
    </xf>
    <xf numFmtId="0" fontId="34" fillId="0" borderId="41" xfId="0" applyFont="1" applyBorder="1" applyAlignment="1">
      <alignment horizontal="left"/>
    </xf>
    <xf numFmtId="165" fontId="34" fillId="0" borderId="0" xfId="1" applyNumberFormat="1" applyFont="1" applyFill="1" applyBorder="1"/>
    <xf numFmtId="166" fontId="33" fillId="0" borderId="0" xfId="3" applyNumberFormat="1" applyFont="1"/>
    <xf numFmtId="165" fontId="33" fillId="0" borderId="0" xfId="0" applyNumberFormat="1" applyFont="1"/>
    <xf numFmtId="165" fontId="34" fillId="0" borderId="0" xfId="1" applyNumberFormat="1" applyFont="1" applyBorder="1"/>
    <xf numFmtId="0" fontId="35" fillId="0" borderId="41" xfId="0" applyFont="1" applyBorder="1"/>
    <xf numFmtId="165" fontId="35" fillId="0" borderId="42" xfId="0" applyNumberFormat="1" applyFont="1" applyBorder="1"/>
    <xf numFmtId="0" fontId="35" fillId="0" borderId="43" xfId="0" applyFont="1" applyBorder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0" xfId="0" applyNumberFormat="1" applyFont="1"/>
    <xf numFmtId="165" fontId="34" fillId="0" borderId="45" xfId="1" applyNumberFormat="1" applyFont="1" applyBorder="1" applyAlignment="1">
      <alignment horizontal="center" wrapText="1"/>
    </xf>
    <xf numFmtId="165" fontId="34" fillId="0" borderId="46" xfId="1" applyNumberFormat="1" applyFont="1" applyFill="1" applyBorder="1" applyAlignment="1">
      <alignment horizontal="center" wrapText="1"/>
    </xf>
    <xf numFmtId="165" fontId="34" fillId="0" borderId="46" xfId="1" applyNumberFormat="1" applyFont="1" applyFill="1" applyBorder="1"/>
    <xf numFmtId="165" fontId="34" fillId="0" borderId="46" xfId="1" applyNumberFormat="1" applyFont="1" applyBorder="1"/>
    <xf numFmtId="165" fontId="31" fillId="0" borderId="0" xfId="4" applyNumberFormat="1" applyFont="1" applyFill="1" applyBorder="1"/>
    <xf numFmtId="165" fontId="31" fillId="0" borderId="46" xfId="1" applyNumberFormat="1" applyFont="1" applyFill="1" applyBorder="1"/>
    <xf numFmtId="165" fontId="31" fillId="0" borderId="0" xfId="1" applyNumberFormat="1" applyFont="1" applyBorder="1"/>
    <xf numFmtId="165" fontId="31" fillId="0" borderId="42" xfId="0" applyNumberFormat="1" applyFont="1" applyBorder="1" applyAlignment="1">
      <alignment horizontal="center" wrapText="1"/>
    </xf>
    <xf numFmtId="165" fontId="34" fillId="0" borderId="40" xfId="1" applyNumberFormat="1" applyFont="1" applyBorder="1" applyAlignment="1">
      <alignment horizontal="center" wrapText="1"/>
    </xf>
    <xf numFmtId="165" fontId="34" fillId="0" borderId="42" xfId="1" applyNumberFormat="1" applyFont="1" applyBorder="1" applyAlignment="1">
      <alignment horizontal="center" wrapText="1"/>
    </xf>
    <xf numFmtId="165" fontId="34" fillId="0" borderId="42" xfId="1" applyNumberFormat="1" applyFont="1" applyFill="1" applyBorder="1"/>
    <xf numFmtId="165" fontId="34" fillId="0" borderId="42" xfId="1" applyNumberFormat="1" applyFont="1" applyBorder="1"/>
    <xf numFmtId="165" fontId="34" fillId="7" borderId="45" xfId="1" applyNumberFormat="1" applyFont="1" applyFill="1" applyBorder="1"/>
    <xf numFmtId="165" fontId="34" fillId="7" borderId="39" xfId="1" applyNumberFormat="1" applyFont="1" applyFill="1" applyBorder="1"/>
    <xf numFmtId="165" fontId="34" fillId="7" borderId="40" xfId="1" applyNumberFormat="1" applyFont="1" applyFill="1" applyBorder="1"/>
    <xf numFmtId="165" fontId="31" fillId="7" borderId="40" xfId="1" applyNumberFormat="1" applyFont="1" applyFill="1" applyBorder="1"/>
    <xf numFmtId="165" fontId="31" fillId="0" borderId="0" xfId="1" applyNumberFormat="1" applyFont="1" applyFill="1" applyBorder="1"/>
    <xf numFmtId="0" fontId="34" fillId="7" borderId="38" xfId="0" applyFont="1" applyFill="1" applyBorder="1" applyAlignment="1">
      <alignment horizontal="center"/>
    </xf>
    <xf numFmtId="166" fontId="36" fillId="0" borderId="0" xfId="3" applyNumberFormat="1" applyFont="1" applyBorder="1"/>
    <xf numFmtId="166" fontId="33" fillId="0" borderId="0" xfId="3" applyNumberFormat="1" applyFont="1" applyBorder="1"/>
    <xf numFmtId="0" fontId="33" fillId="0" borderId="42" xfId="0" applyFont="1" applyBorder="1"/>
    <xf numFmtId="165" fontId="34" fillId="0" borderId="41" xfId="1" applyNumberFormat="1" applyFont="1" applyFill="1" applyBorder="1"/>
    <xf numFmtId="165" fontId="31" fillId="0" borderId="42" xfId="1" applyNumberFormat="1" applyFont="1" applyFill="1" applyBorder="1"/>
    <xf numFmtId="166" fontId="36" fillId="0" borderId="1" xfId="3" applyNumberFormat="1" applyFont="1" applyBorder="1"/>
    <xf numFmtId="165" fontId="33" fillId="0" borderId="1" xfId="0" applyNumberFormat="1" applyFont="1" applyBorder="1"/>
    <xf numFmtId="0" fontId="33" fillId="0" borderId="44" xfId="0" applyFont="1" applyBorder="1"/>
    <xf numFmtId="0" fontId="33" fillId="0" borderId="46" xfId="0" applyFont="1" applyBorder="1"/>
    <xf numFmtId="0" fontId="33" fillId="0" borderId="47" xfId="0" applyFont="1" applyBorder="1"/>
    <xf numFmtId="165" fontId="34" fillId="0" borderId="38" xfId="1" applyNumberFormat="1" applyFont="1" applyBorder="1" applyAlignment="1">
      <alignment horizontal="center" wrapText="1"/>
    </xf>
    <xf numFmtId="165" fontId="34" fillId="0" borderId="41" xfId="1" applyNumberFormat="1" applyFont="1" applyFill="1" applyBorder="1" applyAlignment="1">
      <alignment horizontal="center" wrapText="1"/>
    </xf>
    <xf numFmtId="165" fontId="31" fillId="0" borderId="41" xfId="4" applyNumberFormat="1" applyFont="1" applyFill="1" applyBorder="1"/>
    <xf numFmtId="165" fontId="34" fillId="7" borderId="38" xfId="1" applyNumberFormat="1" applyFont="1" applyFill="1" applyBorder="1"/>
    <xf numFmtId="165" fontId="31" fillId="0" borderId="41" xfId="1" applyNumberFormat="1" applyFont="1" applyBorder="1"/>
    <xf numFmtId="166" fontId="36" fillId="0" borderId="41" xfId="3" applyNumberFormat="1" applyFont="1" applyBorder="1"/>
    <xf numFmtId="165" fontId="31" fillId="0" borderId="41" xfId="1" applyNumberFormat="1" applyFont="1" applyFill="1" applyBorder="1"/>
    <xf numFmtId="165" fontId="33" fillId="0" borderId="42" xfId="0" applyNumberFormat="1" applyFont="1" applyBorder="1"/>
    <xf numFmtId="166" fontId="36" fillId="0" borderId="43" xfId="3" applyNumberFormat="1" applyFont="1" applyBorder="1"/>
    <xf numFmtId="165" fontId="33" fillId="0" borderId="2" xfId="0" applyNumberFormat="1" applyFont="1" applyBorder="1"/>
    <xf numFmtId="165" fontId="31" fillId="0" borderId="48" xfId="1" applyNumberFormat="1" applyFont="1" applyBorder="1"/>
    <xf numFmtId="165" fontId="31" fillId="0" borderId="49" xfId="1" applyNumberFormat="1" applyFont="1" applyBorder="1"/>
    <xf numFmtId="165" fontId="31" fillId="0" borderId="48" xfId="1" applyNumberFormat="1" applyFont="1" applyFill="1" applyBorder="1"/>
    <xf numFmtId="165" fontId="31" fillId="0" borderId="49" xfId="1" applyNumberFormat="1" applyFont="1" applyFill="1" applyBorder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0" fontId="0" fillId="0" borderId="1" xfId="3" applyNumberFormat="1" applyFont="1" applyFill="1" applyBorder="1"/>
    <xf numFmtId="10" fontId="0" fillId="0" borderId="0" xfId="3" applyNumberFormat="1" applyFont="1" applyFill="1"/>
    <xf numFmtId="0" fontId="40" fillId="0" borderId="0" xfId="0" applyFont="1" applyAlignment="1">
      <alignment wrapText="1"/>
    </xf>
    <xf numFmtId="164" fontId="0" fillId="0" borderId="0" xfId="2" applyNumberFormat="1" applyFont="1" applyFill="1"/>
    <xf numFmtId="44" fontId="0" fillId="0" borderId="0" xfId="0" applyNumberFormat="1"/>
    <xf numFmtId="165" fontId="0" fillId="8" borderId="0" xfId="1" applyNumberFormat="1" applyFont="1" applyFill="1"/>
    <xf numFmtId="165" fontId="28" fillId="0" borderId="0" xfId="1" applyNumberFormat="1" applyFont="1" applyBorder="1"/>
    <xf numFmtId="165" fontId="0" fillId="8" borderId="36" xfId="1" applyNumberFormat="1" applyFont="1" applyFill="1" applyBorder="1"/>
    <xf numFmtId="165" fontId="28" fillId="0" borderId="0" xfId="1" applyNumberFormat="1" applyFont="1"/>
    <xf numFmtId="165" fontId="0" fillId="8" borderId="0" xfId="1" applyNumberFormat="1" applyFont="1" applyFill="1" applyBorder="1"/>
    <xf numFmtId="165" fontId="1" fillId="8" borderId="0" xfId="1" applyNumberFormat="1" applyFont="1" applyFill="1" applyBorder="1"/>
    <xf numFmtId="165" fontId="34" fillId="0" borderId="38" xfId="1" applyNumberFormat="1" applyFont="1" applyBorder="1" applyAlignment="1">
      <alignment horizontal="center"/>
    </xf>
    <xf numFmtId="165" fontId="34" fillId="0" borderId="39" xfId="1" applyNumberFormat="1" applyFont="1" applyBorder="1" applyAlignment="1">
      <alignment horizontal="center"/>
    </xf>
    <xf numFmtId="165" fontId="34" fillId="0" borderId="40" xfId="1" applyNumberFormat="1" applyFont="1" applyBorder="1" applyAlignment="1">
      <alignment horizontal="center"/>
    </xf>
    <xf numFmtId="0" fontId="3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/>
    </xf>
    <xf numFmtId="164" fontId="1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right" wrapText="1"/>
    </xf>
    <xf numFmtId="0" fontId="9" fillId="0" borderId="23" xfId="0" applyFont="1" applyBorder="1" applyAlignment="1">
      <alignment horizontal="right" wrapText="1"/>
    </xf>
    <xf numFmtId="0" fontId="19" fillId="0" borderId="32" xfId="0" applyFont="1" applyBorder="1" applyAlignment="1">
      <alignment horizontal="right" vertical="center" wrapText="1"/>
    </xf>
    <xf numFmtId="0" fontId="21" fillId="0" borderId="37" xfId="0" applyFont="1" applyBorder="1" applyAlignment="1">
      <alignment horizontal="right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right" wrapText="1"/>
    </xf>
    <xf numFmtId="0" fontId="17" fillId="0" borderId="22" xfId="0" applyFont="1" applyBorder="1" applyAlignment="1">
      <alignment horizontal="right" wrapText="1"/>
    </xf>
    <xf numFmtId="0" fontId="17" fillId="0" borderId="30" xfId="0" applyFont="1" applyBorder="1" applyAlignment="1">
      <alignment horizontal="right" wrapText="1"/>
    </xf>
    <xf numFmtId="0" fontId="24" fillId="0" borderId="0" xfId="0" quotePrefix="1" applyFont="1" applyAlignment="1">
      <alignment horizontal="center" vertical="center"/>
    </xf>
    <xf numFmtId="0" fontId="24" fillId="0" borderId="0" xfId="0" applyFont="1"/>
    <xf numFmtId="0" fontId="25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4" fillId="0" borderId="0" xfId="0" quotePrefix="1" applyFont="1" applyAlignment="1">
      <alignment horizontal="left" vertical="top"/>
    </xf>
    <xf numFmtId="0" fontId="3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5">
    <cellStyle name="Comma" xfId="1" builtinId="3"/>
    <cellStyle name="Comma 3" xfId="4" xr:uid="{E6AC4313-3455-4473-AB7C-4565CED9B5CD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33474</xdr:colOff>
      <xdr:row>6</xdr:row>
      <xdr:rowOff>34831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8DC56A-6F28-4870-88E8-31FA92A17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009" b="41009"/>
        <a:stretch/>
      </xdr:blipFill>
      <xdr:spPr>
        <a:xfrm>
          <a:off x="0" y="9525"/>
          <a:ext cx="11772900" cy="1190624"/>
        </a:xfrm>
        <a:prstGeom prst="rect">
          <a:avLst/>
        </a:prstGeom>
        <a:solidFill>
          <a:srgbClr val="08A4DC"/>
        </a:solidFill>
      </xdr:spPr>
    </xdr:pic>
    <xdr:clientData/>
  </xdr:twoCellAnchor>
  <xdr:oneCellAnchor>
    <xdr:from>
      <xdr:col>0</xdr:col>
      <xdr:colOff>3401796</xdr:colOff>
      <xdr:row>0</xdr:row>
      <xdr:rowOff>144236</xdr:rowOff>
    </xdr:from>
    <xdr:ext cx="5355185" cy="71853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8E0F4C-5B9F-C3AB-8A1C-E17032AE8E5F}"/>
            </a:ext>
          </a:extLst>
        </xdr:cNvPr>
        <xdr:cNvSpPr txBox="1"/>
      </xdr:nvSpPr>
      <xdr:spPr>
        <a:xfrm>
          <a:off x="3401796" y="144236"/>
          <a:ext cx="5355185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2000" b="1">
              <a:latin typeface="Aptos" panose="020B0004020202020204" pitchFamily="34" charset="0"/>
            </a:rPr>
            <a:t>Kern Community College District</a:t>
          </a:r>
        </a:p>
        <a:p>
          <a:pPr algn="ctr"/>
          <a:r>
            <a:rPr lang="en-US" sz="2000" b="1">
              <a:latin typeface="Aptos" panose="020B0004020202020204" pitchFamily="34" charset="0"/>
            </a:rPr>
            <a:t>Income to be</a:t>
          </a:r>
          <a:r>
            <a:rPr lang="en-US" sz="2000" b="1" baseline="0">
              <a:latin typeface="Aptos" panose="020B0004020202020204" pitchFamily="34" charset="0"/>
            </a:rPr>
            <a:t> Allocated - Unrestricted GU001</a:t>
          </a:r>
          <a:endParaRPr lang="en-US" sz="2000" b="1">
            <a:latin typeface="Aptos" panose="020B0004020202020204" pitchFamily="34" charset="0"/>
          </a:endParaRPr>
        </a:p>
      </xdr:txBody>
    </xdr:sp>
    <xdr:clientData/>
  </xdr:oneCellAnchor>
  <xdr:oneCellAnchor>
    <xdr:from>
      <xdr:col>8</xdr:col>
      <xdr:colOff>476250</xdr:colOff>
      <xdr:row>4</xdr:row>
      <xdr:rowOff>168729</xdr:rowOff>
    </xdr:from>
    <xdr:ext cx="11477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A32A19-4ACC-7AAE-90C5-CCD8C292A194}"/>
            </a:ext>
          </a:extLst>
        </xdr:cNvPr>
        <xdr:cNvSpPr txBox="1"/>
      </xdr:nvSpPr>
      <xdr:spPr>
        <a:xfrm>
          <a:off x="11925300" y="892629"/>
          <a:ext cx="11477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  <a:latin typeface="Aptos" panose="020B0004020202020204" pitchFamily="34" charset="0"/>
            </a:rPr>
            <a:t>P1 -</a:t>
          </a:r>
          <a:r>
            <a:rPr lang="en-US" sz="1100" baseline="0">
              <a:solidFill>
                <a:schemeClr val="bg1"/>
              </a:solidFill>
              <a:latin typeface="Aptos" panose="020B0004020202020204" pitchFamily="34" charset="0"/>
            </a:rPr>
            <a:t> v1</a:t>
          </a:r>
          <a:endParaRPr lang="en-US" sz="1100">
            <a:solidFill>
              <a:schemeClr val="bg1"/>
            </a:solidFill>
            <a:latin typeface="Aptos" panose="020B0004020202020204" pitchFamily="34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48986</xdr:colOff>
      <xdr:row>0</xdr:row>
      <xdr:rowOff>0</xdr:rowOff>
    </xdr:from>
    <xdr:to>
      <xdr:col>28</xdr:col>
      <xdr:colOff>392837</xdr:colOff>
      <xdr:row>37</xdr:row>
      <xdr:rowOff>135189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9AB64-34EC-93EC-D140-3EEC0FC91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711" y="0"/>
          <a:ext cx="14144217" cy="7084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16329</xdr:colOff>
      <xdr:row>6</xdr:row>
      <xdr:rowOff>55786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B0A71-9D1A-4965-8206-E277A720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009" b="41009"/>
        <a:stretch/>
      </xdr:blipFill>
      <xdr:spPr>
        <a:xfrm>
          <a:off x="0" y="9525"/>
          <a:ext cx="11770179" cy="1189261"/>
        </a:xfrm>
        <a:prstGeom prst="rect">
          <a:avLst/>
        </a:prstGeom>
        <a:solidFill>
          <a:srgbClr val="08A4DC"/>
        </a:solidFill>
      </xdr:spPr>
    </xdr:pic>
    <xdr:clientData/>
  </xdr:twoCellAnchor>
  <xdr:oneCellAnchor>
    <xdr:from>
      <xdr:col>0</xdr:col>
      <xdr:colOff>3401796</xdr:colOff>
      <xdr:row>0</xdr:row>
      <xdr:rowOff>144236</xdr:rowOff>
    </xdr:from>
    <xdr:ext cx="5355185" cy="71853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5D2483-3039-4FF5-A82E-825C25431833}"/>
            </a:ext>
          </a:extLst>
        </xdr:cNvPr>
        <xdr:cNvSpPr txBox="1"/>
      </xdr:nvSpPr>
      <xdr:spPr>
        <a:xfrm>
          <a:off x="3401796" y="144236"/>
          <a:ext cx="5355185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2000" b="1">
              <a:latin typeface="Aptos" panose="020B0004020202020204" pitchFamily="34" charset="0"/>
            </a:rPr>
            <a:t>Kern Community College District</a:t>
          </a:r>
        </a:p>
        <a:p>
          <a:pPr algn="ctr"/>
          <a:r>
            <a:rPr lang="en-US" sz="2000" b="1">
              <a:latin typeface="Aptos" panose="020B0004020202020204" pitchFamily="34" charset="0"/>
            </a:rPr>
            <a:t>Income to be</a:t>
          </a:r>
          <a:r>
            <a:rPr lang="en-US" sz="2000" b="1" baseline="0">
              <a:latin typeface="Aptos" panose="020B0004020202020204" pitchFamily="34" charset="0"/>
            </a:rPr>
            <a:t> Allocated - Unrestricted GU001</a:t>
          </a:r>
          <a:endParaRPr lang="en-US" sz="2000" b="1">
            <a:latin typeface="Aptos" panose="020B0004020202020204" pitchFamily="34" charset="0"/>
          </a:endParaRPr>
        </a:p>
      </xdr:txBody>
    </xdr:sp>
    <xdr:clientData/>
  </xdr:oneCellAnchor>
  <xdr:oneCellAnchor>
    <xdr:from>
      <xdr:col>8</xdr:col>
      <xdr:colOff>476250</xdr:colOff>
      <xdr:row>4</xdr:row>
      <xdr:rowOff>168729</xdr:rowOff>
    </xdr:from>
    <xdr:ext cx="114776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899318-6A69-4226-BD5F-95D36DEA3B2C}"/>
            </a:ext>
          </a:extLst>
        </xdr:cNvPr>
        <xdr:cNvSpPr txBox="1"/>
      </xdr:nvSpPr>
      <xdr:spPr>
        <a:xfrm>
          <a:off x="11258550" y="930729"/>
          <a:ext cx="11477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  <a:latin typeface="Aptos" panose="020B0004020202020204" pitchFamily="34" charset="0"/>
            </a:rPr>
            <a:t>R1 - v1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693964</xdr:colOff>
      <xdr:row>1</xdr:row>
      <xdr:rowOff>27214</xdr:rowOff>
    </xdr:from>
    <xdr:to>
      <xdr:col>4</xdr:col>
      <xdr:colOff>750027</xdr:colOff>
      <xdr:row>2</xdr:row>
      <xdr:rowOff>328771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5A5EE-632B-4CC4-905C-FD9793C9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164" y="217714"/>
          <a:ext cx="2306411" cy="470559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326571</xdr:colOff>
      <xdr:row>1</xdr:row>
      <xdr:rowOff>190500</xdr:rowOff>
    </xdr:from>
    <xdr:to>
      <xdr:col>10</xdr:col>
      <xdr:colOff>1067359</xdr:colOff>
      <xdr:row>2</xdr:row>
      <xdr:rowOff>866069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A30AB-65BC-402C-B320-4CDBBC5B4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8521" y="381000"/>
          <a:ext cx="1826638" cy="612975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</xdr:row>
      <xdr:rowOff>94136</xdr:rowOff>
    </xdr:from>
    <xdr:to>
      <xdr:col>15</xdr:col>
      <xdr:colOff>142309</xdr:colOff>
      <xdr:row>2</xdr:row>
      <xdr:rowOff>862919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A02D7E-1869-468F-9D03-BB026AD2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284636"/>
          <a:ext cx="1948333" cy="690135"/>
        </a:xfrm>
        <a:prstGeom prst="rect">
          <a:avLst/>
        </a:prstGeom>
      </xdr:spPr>
    </xdr:pic>
    <xdr:clientData/>
  </xdr:twoCellAnchor>
  <xdr:twoCellAnchor editAs="oneCell">
    <xdr:from>
      <xdr:col>17</xdr:col>
      <xdr:colOff>122462</xdr:colOff>
      <xdr:row>1</xdr:row>
      <xdr:rowOff>326663</xdr:rowOff>
    </xdr:from>
    <xdr:to>
      <xdr:col>19</xdr:col>
      <xdr:colOff>329978</xdr:colOff>
      <xdr:row>2</xdr:row>
      <xdr:rowOff>369024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8C7E40-848D-4497-B692-6AD82880C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2712" y="517163"/>
          <a:ext cx="2304732" cy="348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16</xdr:row>
      <xdr:rowOff>0</xdr:rowOff>
    </xdr:from>
    <xdr:to>
      <xdr:col>24</xdr:col>
      <xdr:colOff>342012</xdr:colOff>
      <xdr:row>32</xdr:row>
      <xdr:rowOff>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3359B2-0399-F53F-BC3D-F82D19199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3048000"/>
          <a:ext cx="7104762" cy="30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24</xdr:col>
      <xdr:colOff>102836</xdr:colOff>
      <xdr:row>15</xdr:row>
      <xdr:rowOff>4043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2797B2-474F-2323-D82D-791C6F0B3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381000"/>
          <a:ext cx="6800000" cy="2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112939</xdr:colOff>
      <xdr:row>33</xdr:row>
      <xdr:rowOff>20411</xdr:rowOff>
    </xdr:from>
    <xdr:to>
      <xdr:col>24</xdr:col>
      <xdr:colOff>226387</xdr:colOff>
      <xdr:row>46</xdr:row>
      <xdr:rowOff>65270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4BA373-886D-7897-0B8A-E4B248F5A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3514" y="5992586"/>
          <a:ext cx="7342923" cy="23890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11</xdr:col>
      <xdr:colOff>338527</xdr:colOff>
      <xdr:row>27</xdr:row>
      <xdr:rowOff>142076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AF1244-61AD-771A-BEF2-FD243405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532" y="2880544"/>
          <a:ext cx="6694959" cy="24427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26670</xdr:colOff>
      <xdr:row>17</xdr:row>
      <xdr:rowOff>179070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F0C9D-1222-4BEE-D65C-D8D173E4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13360"/>
          <a:ext cx="6896100" cy="400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334357</xdr:colOff>
      <xdr:row>51</xdr:row>
      <xdr:rowOff>77540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A8246-B46D-A066-0B05-EEEAF4AC0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039957" cy="96025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29</xdr:col>
      <xdr:colOff>381000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FE99C-BBCA-76D8-CE94-29CA398C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449800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29</xdr:col>
      <xdr:colOff>438150</xdr:colOff>
      <xdr:row>79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984AC4-5CBD-66E0-F4F6-0AE71C56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72500"/>
          <a:ext cx="17506950" cy="64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372888</xdr:colOff>
      <xdr:row>61</xdr:row>
      <xdr:rowOff>134964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72574A-7807-CBEB-4A75-26D7CB047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0126488" cy="115649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515443</xdr:colOff>
      <xdr:row>54</xdr:row>
      <xdr:rowOff>10936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290B79-BB22-9CC3-8F54-248FB7C3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830643" cy="1010743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26</xdr:col>
      <xdr:colOff>258147</xdr:colOff>
      <xdr:row>47</xdr:row>
      <xdr:rowOff>96486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449557-4E1F-909A-3EAC-44458475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190500"/>
          <a:ext cx="6963747" cy="8859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024.04_MelissaT\Tani\Tentative_DO\25-26%20Revenue%20Allocation%20Model%20Adopted%20v1.xlsx" TargetMode="External"/><Relationship Id="rId1" Type="http://schemas.openxmlformats.org/officeDocument/2006/relationships/externalLinkPath" Target="file:///W:\2024.04_MelissaT\Tani\Tentative_DO\25-26%20Revenue%20Allocation%20Model%20Adopted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ocation"/>
      <sheetName val="Stabilization"/>
      <sheetName val="SCFF"/>
      <sheetName val="Lottery PYs"/>
      <sheetName val="FTES"/>
      <sheetName val="Early R1"/>
      <sheetName val="From IR"/>
    </sheetNames>
    <sheetDataSet>
      <sheetData sheetId="0"/>
      <sheetData sheetId="1"/>
      <sheetData sheetId="2">
        <row r="57">
          <cell r="K57">
            <v>191440050.92787924</v>
          </cell>
          <cell r="O57">
            <v>38270827.182803653</v>
          </cell>
          <cell r="S57">
            <v>35819300.344274126</v>
          </cell>
          <cell r="W57">
            <v>265530178.45495701</v>
          </cell>
        </row>
        <row r="59">
          <cell r="L59">
            <v>0.75352474294977811</v>
          </cell>
          <cell r="P59">
            <v>0.12268801457770605</v>
          </cell>
          <cell r="T59">
            <v>0.12378724247251585</v>
          </cell>
        </row>
      </sheetData>
      <sheetData sheetId="3">
        <row r="9">
          <cell r="C9">
            <v>4890036.32</v>
          </cell>
        </row>
      </sheetData>
      <sheetData sheetId="4">
        <row r="13">
          <cell r="C13">
            <v>0.76588197355691712</v>
          </cell>
          <cell r="E13">
            <v>0.76254450722553124</v>
          </cell>
          <cell r="G13">
            <v>0.76318610685763011</v>
          </cell>
        </row>
        <row r="14">
          <cell r="C14">
            <v>0.11383089564343765</v>
          </cell>
          <cell r="E14">
            <v>0.11661013166786313</v>
          </cell>
          <cell r="G14">
            <v>0.11575723677574934</v>
          </cell>
        </row>
        <row r="15">
          <cell r="C15">
            <v>0.12028713079964519</v>
          </cell>
          <cell r="E15">
            <v>0.12084536110660561</v>
          </cell>
          <cell r="G15">
            <v>0.1210566563666205</v>
          </cell>
        </row>
      </sheetData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Couch" id="{05F81B0F-6464-40E9-AA69-D204E0F86CB1}" userId="S::lcouch@cerrocoso.edu::70759f36-cd06-46e6-8081-85520966dafa" providerId="AD"/>
  <person displayName="Tanumeet Kaur" id="{EDC1B699-D820-45D6-A48C-D4A080B7F773}" userId="S::tanumeet.kaur@kccd.edu::bf4d33bc-30e0-49e6-8154-3921e2c0823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4" dT="2026-03-30T23:31:50.42" personId="{EDC1B699-D820-45D6-A48C-D4A080B7F773}" id="{29732037-58BD-4AE0-B446-E6E128C0C9F9}">
    <text>This no. is from CCCCO Feb 2026 Apportionment- CCC Monthly Payments Schedule by District.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5" dT="2025-03-26T23:18:00.53" personId="{05F81B0F-6464-40E9-AA69-D204E0F86CB1}" id="{62CEDFB8-83EB-47FB-9F82-36236E465A63}">
    <text>Reduced by use of DW reserves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5" dT="2025-03-26T22:45:45.65" personId="{05F81B0F-6464-40E9-AA69-D204E0F86CB1}" id="{BC57BF5E-6A91-4075-8878-06E8E954C51A}">
    <text>From most recent allocation model for current year.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4664-0F04-496C-94B7-DB85B48C56B6}">
  <sheetPr>
    <pageSetUpPr fitToPage="1"/>
  </sheetPr>
  <dimension ref="A6:K51"/>
  <sheetViews>
    <sheetView topLeftCell="A9" workbookViewId="0">
      <selection activeCell="I14" sqref="I14"/>
    </sheetView>
  </sheetViews>
  <sheetFormatPr defaultColWidth="9.140625" defaultRowHeight="15" x14ac:dyDescent="0.25"/>
  <cols>
    <col min="1" max="1" width="51.42578125" style="223" customWidth="1"/>
    <col min="2" max="2" width="15.85546875" style="223" bestFit="1" customWidth="1"/>
    <col min="3" max="3" width="15.5703125" style="223" customWidth="1"/>
    <col min="4" max="5" width="16.28515625" style="223" bestFit="1" customWidth="1"/>
    <col min="6" max="6" width="15.28515625" style="223" bestFit="1" customWidth="1"/>
    <col min="7" max="7" width="15.140625" style="223" bestFit="1" customWidth="1"/>
    <col min="8" max="8" width="15.85546875" style="223" bestFit="1" customWidth="1"/>
    <col min="9" max="9" width="14.5703125" style="223" bestFit="1" customWidth="1"/>
    <col min="10" max="10" width="15" style="223" bestFit="1" customWidth="1"/>
    <col min="11" max="11" width="12.5703125" style="223" bestFit="1" customWidth="1"/>
    <col min="12" max="16384" width="9.140625" style="223"/>
  </cols>
  <sheetData>
    <row r="6" spans="1:11" ht="18.75" x14ac:dyDescent="0.3">
      <c r="A6" s="220" t="s">
        <v>38</v>
      </c>
      <c r="B6" s="221"/>
      <c r="C6" s="221"/>
      <c r="D6" s="221"/>
      <c r="E6" s="221"/>
      <c r="F6" s="221"/>
      <c r="G6" s="221"/>
      <c r="H6" s="221"/>
      <c r="I6" s="222"/>
    </row>
    <row r="7" spans="1:11" ht="14.25" customHeight="1" thickBot="1" x14ac:dyDescent="0.35">
      <c r="A7" s="220"/>
      <c r="B7" s="221"/>
      <c r="C7" s="221"/>
      <c r="D7" s="221"/>
      <c r="E7" s="221"/>
      <c r="F7" s="221"/>
      <c r="G7" s="221"/>
      <c r="H7" s="221"/>
    </row>
    <row r="8" spans="1:11" ht="19.5" thickBot="1" x14ac:dyDescent="0.35">
      <c r="A8" s="220"/>
      <c r="B8" s="224" t="s">
        <v>89</v>
      </c>
      <c r="C8" s="298" t="s">
        <v>122</v>
      </c>
      <c r="D8" s="299"/>
      <c r="E8" s="299"/>
      <c r="F8" s="299"/>
      <c r="G8" s="299"/>
      <c r="H8" s="300"/>
    </row>
    <row r="9" spans="1:11" ht="48" thickBot="1" x14ac:dyDescent="0.3">
      <c r="A9" s="225" t="s">
        <v>39</v>
      </c>
      <c r="B9" s="242" t="s">
        <v>73</v>
      </c>
      <c r="C9" s="270" t="s">
        <v>49</v>
      </c>
      <c r="D9" s="226" t="s">
        <v>50</v>
      </c>
      <c r="E9" s="226" t="s">
        <v>51</v>
      </c>
      <c r="F9" s="226" t="s">
        <v>76</v>
      </c>
      <c r="G9" s="226" t="s">
        <v>77</v>
      </c>
      <c r="H9" s="250" t="s">
        <v>106</v>
      </c>
      <c r="I9" s="227" t="s">
        <v>40</v>
      </c>
    </row>
    <row r="10" spans="1:11" ht="15.75" x14ac:dyDescent="0.25">
      <c r="A10" s="228"/>
      <c r="B10" s="243"/>
      <c r="C10" s="271"/>
      <c r="D10" s="229"/>
      <c r="E10" s="229"/>
      <c r="F10" s="229"/>
      <c r="G10" s="229"/>
      <c r="H10" s="251"/>
      <c r="I10" s="230"/>
    </row>
    <row r="11" spans="1:11" ht="15.75" x14ac:dyDescent="0.25">
      <c r="A11" s="231" t="s">
        <v>47</v>
      </c>
      <c r="B11" s="244">
        <f>'PY Allocation'!H11</f>
        <v>265530178.45495701</v>
      </c>
      <c r="C11" s="272">
        <f>+SCFF!K57</f>
        <v>187747384.71133608</v>
      </c>
      <c r="D11" s="246">
        <f>+SCFF!O57</f>
        <v>39291600.950670376</v>
      </c>
      <c r="E11" s="246">
        <f>+SCFF!S57</f>
        <v>36509947.293571696</v>
      </c>
      <c r="F11" s="246"/>
      <c r="G11" s="246"/>
      <c r="H11" s="252">
        <f>+SCFF!W57</f>
        <v>263548932.95557815</v>
      </c>
      <c r="I11" s="249">
        <f>+H11-B11</f>
        <v>-1981245.49937886</v>
      </c>
      <c r="J11" s="233"/>
    </row>
    <row r="12" spans="1:11" ht="15.75" x14ac:dyDescent="0.25">
      <c r="A12" s="231" t="s">
        <v>82</v>
      </c>
      <c r="B12" s="244">
        <f>'PY Allocation'!H12</f>
        <v>0</v>
      </c>
      <c r="C12" s="272">
        <v>0</v>
      </c>
      <c r="D12" s="246">
        <v>0</v>
      </c>
      <c r="E12" s="246">
        <v>0</v>
      </c>
      <c r="F12" s="246"/>
      <c r="G12" s="246">
        <f>-E12-D12</f>
        <v>0</v>
      </c>
      <c r="H12" s="252">
        <f>+G12+F12+E12+D12+C12</f>
        <v>0</v>
      </c>
      <c r="I12" s="249">
        <f t="shared" ref="I12:I18" si="0">+H12-B12</f>
        <v>0</v>
      </c>
      <c r="J12" s="233"/>
    </row>
    <row r="13" spans="1:11" ht="15.75" x14ac:dyDescent="0.25">
      <c r="A13" s="231" t="s">
        <v>81</v>
      </c>
      <c r="B13" s="244">
        <f>'PY Allocation'!H13</f>
        <v>632931</v>
      </c>
      <c r="C13" s="272">
        <f>+H13*FTES!$C$13</f>
        <v>482004.08398702648</v>
      </c>
      <c r="D13" s="246">
        <f>+H13*FTES!$C$14</f>
        <v>74035.744859623897</v>
      </c>
      <c r="E13" s="246">
        <f>+H13*FTES!$C$15</f>
        <v>73578.171153349642</v>
      </c>
      <c r="F13" s="246"/>
      <c r="G13" s="246"/>
      <c r="H13" s="252">
        <v>629618</v>
      </c>
      <c r="I13" s="249">
        <f>+H13-B13</f>
        <v>-3313</v>
      </c>
      <c r="K13" s="234"/>
    </row>
    <row r="14" spans="1:11" ht="15.75" x14ac:dyDescent="0.25">
      <c r="A14" s="231" t="s">
        <v>87</v>
      </c>
      <c r="B14" s="244">
        <f>'PY Allocation'!H14</f>
        <v>3488843</v>
      </c>
      <c r="C14" s="272">
        <f>+H14*FTES!$C$13</f>
        <v>2670883.8921211739</v>
      </c>
      <c r="D14" s="246">
        <f>+H14*FTES!$C$14</f>
        <v>410247.30900845403</v>
      </c>
      <c r="E14" s="246">
        <f>+H14*FTES!$C$15</f>
        <v>407711.79887037189</v>
      </c>
      <c r="F14" s="246"/>
      <c r="G14" s="246"/>
      <c r="H14" s="252">
        <v>3488843</v>
      </c>
      <c r="I14" s="249">
        <f t="shared" si="0"/>
        <v>0</v>
      </c>
      <c r="K14" s="234"/>
    </row>
    <row r="15" spans="1:11" ht="15.75" x14ac:dyDescent="0.25">
      <c r="A15" s="231" t="s">
        <v>41</v>
      </c>
      <c r="B15" s="244">
        <f>'PY Allocation'!H15</f>
        <v>4890036.32</v>
      </c>
      <c r="C15" s="272">
        <f>+H15*FTES!E13</f>
        <v>4224474.4883785043</v>
      </c>
      <c r="D15" s="246">
        <f>+H15*FTES!E14</f>
        <v>664887.52284300886</v>
      </c>
      <c r="E15" s="246">
        <f>+H15*FTES!E15</f>
        <v>647227.97544515377</v>
      </c>
      <c r="F15" s="246"/>
      <c r="G15" s="246"/>
      <c r="H15" s="252">
        <f>+'Lottery PYs'!C10</f>
        <v>5536589.9866666673</v>
      </c>
      <c r="I15" s="249">
        <f>+H15-B15</f>
        <v>646553.66666666698</v>
      </c>
    </row>
    <row r="16" spans="1:11" ht="15.75" x14ac:dyDescent="0.25">
      <c r="A16" s="231" t="s">
        <v>42</v>
      </c>
      <c r="B16" s="244">
        <f>'PY Allocation'!H16</f>
        <v>858378</v>
      </c>
      <c r="C16" s="272">
        <f>+H16*FTES!C13</f>
        <v>700714.07441654662</v>
      </c>
      <c r="D16" s="246">
        <f>+H16*FTES!C14</f>
        <v>107629.56198198373</v>
      </c>
      <c r="E16" s="246">
        <f>+H16*FTES!C15</f>
        <v>106964.3636014697</v>
      </c>
      <c r="F16" s="246"/>
      <c r="G16" s="246"/>
      <c r="H16" s="252">
        <v>915308</v>
      </c>
      <c r="I16" s="249">
        <f>+H16-B16</f>
        <v>56930</v>
      </c>
    </row>
    <row r="17" spans="1:11" ht="15.75" x14ac:dyDescent="0.25">
      <c r="A17" s="231" t="s">
        <v>43</v>
      </c>
      <c r="B17" s="244">
        <f>'PY Allocation'!H17</f>
        <v>6000000</v>
      </c>
      <c r="C17" s="272">
        <f>+H17*FTES!G13</f>
        <v>4578792.2754936963</v>
      </c>
      <c r="D17" s="246">
        <f>+H17*FTES!G14</f>
        <v>716117.54534637847</v>
      </c>
      <c r="E17" s="246">
        <f>+H17*FTES!G15</f>
        <v>705090.17915992567</v>
      </c>
      <c r="F17" s="246"/>
      <c r="G17" s="246"/>
      <c r="H17" s="252">
        <v>6000000</v>
      </c>
      <c r="I17" s="249">
        <f>+H17-B17</f>
        <v>0</v>
      </c>
    </row>
    <row r="18" spans="1:11" ht="16.5" thickBot="1" x14ac:dyDescent="0.3">
      <c r="A18" s="231" t="s">
        <v>44</v>
      </c>
      <c r="B18" s="244">
        <f>'PY Allocation'!H18</f>
        <v>175000</v>
      </c>
      <c r="C18" s="272">
        <f>+H18*FTES!G13</f>
        <v>157953.83399566013</v>
      </c>
      <c r="D18" s="246">
        <f>+H18*FTES!G14</f>
        <v>24703.787608889794</v>
      </c>
      <c r="E18" s="246">
        <f>+H18*FTES!G15</f>
        <v>24323.378395450094</v>
      </c>
      <c r="F18" s="246"/>
      <c r="G18" s="246"/>
      <c r="H18" s="252">
        <v>206981</v>
      </c>
      <c r="I18" s="249">
        <f t="shared" si="0"/>
        <v>31981</v>
      </c>
    </row>
    <row r="19" spans="1:11" ht="16.5" thickBot="1" x14ac:dyDescent="0.3">
      <c r="A19" s="259" t="s">
        <v>75</v>
      </c>
      <c r="B19" s="254">
        <f>SUM(B11:B18)</f>
        <v>281575366.774957</v>
      </c>
      <c r="C19" s="273">
        <f>SUM(C11:C18)</f>
        <v>200562207.35972866</v>
      </c>
      <c r="D19" s="255">
        <f>SUM(D11:D18)</f>
        <v>41289222.422318719</v>
      </c>
      <c r="E19" s="255">
        <f>SUM(E11:E18)</f>
        <v>38474843.160197414</v>
      </c>
      <c r="F19" s="255"/>
      <c r="G19" s="255">
        <f>SUM(G11:G18)</f>
        <v>0</v>
      </c>
      <c r="H19" s="256">
        <f>SUM(H11:H18)</f>
        <v>280326272.94224483</v>
      </c>
      <c r="I19" s="257">
        <f>SUM(I11:I18)</f>
        <v>-1249093.832712193</v>
      </c>
      <c r="J19" s="240"/>
      <c r="K19" s="234"/>
    </row>
    <row r="20" spans="1:11" ht="15.75" x14ac:dyDescent="0.25">
      <c r="A20" s="236" t="s">
        <v>74</v>
      </c>
      <c r="B20" s="245"/>
      <c r="C20" s="280">
        <f>'PY Allocation'!C19</f>
        <v>203695804.11604792</v>
      </c>
      <c r="D20" s="281">
        <f>'PY Allocation'!D19</f>
        <v>40122751.061630204</v>
      </c>
      <c r="E20" s="281">
        <f>'PY Allocation'!E19</f>
        <v>37756811.597278938</v>
      </c>
      <c r="F20" s="235"/>
      <c r="G20" s="235"/>
      <c r="H20" s="253"/>
      <c r="I20" s="237"/>
      <c r="K20" s="234"/>
    </row>
    <row r="21" spans="1:11" ht="15.75" x14ac:dyDescent="0.25">
      <c r="A21" s="236" t="s">
        <v>101</v>
      </c>
      <c r="B21" s="245"/>
      <c r="C21" s="274">
        <f>+C19-C20</f>
        <v>-3133596.7563192546</v>
      </c>
      <c r="D21" s="248">
        <f>+D19-D20</f>
        <v>1166471.360688515</v>
      </c>
      <c r="E21" s="248">
        <f>+E19-E20</f>
        <v>718031.56291847676</v>
      </c>
      <c r="F21" s="235"/>
      <c r="G21" s="235"/>
      <c r="H21" s="253"/>
      <c r="I21" s="253"/>
      <c r="K21" s="234"/>
    </row>
    <row r="22" spans="1:11" ht="15.75" x14ac:dyDescent="0.25">
      <c r="A22" s="236" t="s">
        <v>102</v>
      </c>
      <c r="B22" s="268"/>
      <c r="C22" s="275">
        <f>+C21/C20</f>
        <v>-1.5383707926227128E-2</v>
      </c>
      <c r="D22" s="260">
        <f>+D21/D20</f>
        <v>2.9072566806218416E-2</v>
      </c>
      <c r="E22" s="260">
        <f>+E21/E20</f>
        <v>1.9017272183285305E-2</v>
      </c>
      <c r="F22" s="261"/>
      <c r="G22" s="261"/>
      <c r="H22" s="262"/>
      <c r="I22" s="262"/>
    </row>
    <row r="23" spans="1:11" ht="15.75" x14ac:dyDescent="0.25">
      <c r="A23" s="236"/>
      <c r="B23" s="268"/>
      <c r="C23" s="275"/>
      <c r="D23" s="260"/>
      <c r="E23" s="260"/>
      <c r="F23" s="261"/>
      <c r="G23" s="261"/>
      <c r="H23" s="262"/>
      <c r="I23" s="262"/>
    </row>
    <row r="24" spans="1:11" s="232" customFormat="1" ht="12" customHeight="1" x14ac:dyDescent="0.25">
      <c r="A24" s="263"/>
      <c r="B24" s="244"/>
      <c r="C24" s="263"/>
      <c r="H24" s="252"/>
      <c r="I24" s="252"/>
    </row>
    <row r="25" spans="1:11" s="232" customFormat="1" ht="16.5" thickBot="1" x14ac:dyDescent="0.3">
      <c r="A25" s="231" t="s">
        <v>103</v>
      </c>
      <c r="B25" s="247">
        <v>41878240</v>
      </c>
      <c r="C25" s="276">
        <f>+SCFF!L59*(-$F$25-$G$25)</f>
        <v>34986698.276187487</v>
      </c>
      <c r="D25" s="258">
        <f>+SCFF!P59*(-$F$25-$G$25)</f>
        <v>6025852.7241509994</v>
      </c>
      <c r="E25" s="258">
        <f>+SCFF!T59*(-$F$25-$G$25)</f>
        <v>6010090.9096615054</v>
      </c>
      <c r="F25" s="258">
        <v>-48502641.909999996</v>
      </c>
      <c r="G25" s="258">
        <v>1480000</v>
      </c>
      <c r="H25" s="264">
        <f>SUM(C25:G25)</f>
        <v>0</v>
      </c>
      <c r="I25" s="264">
        <f>-F25-G25-B25</f>
        <v>5144401.9099999964</v>
      </c>
      <c r="J25" s="240"/>
    </row>
    <row r="26" spans="1:11" s="232" customFormat="1" ht="16.5" thickBot="1" x14ac:dyDescent="0.3">
      <c r="A26" s="259" t="s">
        <v>105</v>
      </c>
      <c r="B26" s="254"/>
      <c r="C26" s="273">
        <f>+C19-C25</f>
        <v>165575509.08354118</v>
      </c>
      <c r="D26" s="255">
        <f>+D19-D25</f>
        <v>35263369.698167719</v>
      </c>
      <c r="E26" s="255">
        <f>+E19-E25</f>
        <v>32464752.250535909</v>
      </c>
      <c r="F26" s="255"/>
      <c r="G26" s="255"/>
      <c r="H26" s="256">
        <f>SUM(C26:E26)</f>
        <v>233303631.0322448</v>
      </c>
      <c r="I26" s="256"/>
    </row>
    <row r="27" spans="1:11" ht="15.75" x14ac:dyDescent="0.25">
      <c r="A27" s="236" t="s">
        <v>104</v>
      </c>
      <c r="B27" s="268"/>
      <c r="C27" s="282">
        <f>'PY Allocation'!C26</f>
        <v>170587705.98275277</v>
      </c>
      <c r="D27" s="283">
        <f>'PY Allocation'!D26</f>
        <v>34732129.36748822</v>
      </c>
      <c r="E27" s="283">
        <f>'PY Allocation'!E26</f>
        <v>32317892.42471607</v>
      </c>
      <c r="F27" s="232"/>
      <c r="G27" s="232"/>
      <c r="H27" s="252"/>
      <c r="I27" s="262"/>
    </row>
    <row r="28" spans="1:11" ht="15.75" x14ac:dyDescent="0.25">
      <c r="A28" s="236" t="s">
        <v>101</v>
      </c>
      <c r="B28" s="245"/>
      <c r="C28" s="274">
        <f>+C26-C27</f>
        <v>-5012196.8992115855</v>
      </c>
      <c r="D28" s="248">
        <f>+D26-D27</f>
        <v>531240.33067949861</v>
      </c>
      <c r="E28" s="248">
        <f>+E26-E27</f>
        <v>146859.82581983879</v>
      </c>
      <c r="F28" s="234"/>
      <c r="G28" s="234"/>
      <c r="H28" s="277"/>
      <c r="I28" s="262"/>
    </row>
    <row r="29" spans="1:11" ht="16.5" thickBot="1" x14ac:dyDescent="0.3">
      <c r="A29" s="238" t="s">
        <v>102</v>
      </c>
      <c r="B29" s="269"/>
      <c r="C29" s="278">
        <f>+C28/C27</f>
        <v>-2.9381935059952929E-2</v>
      </c>
      <c r="D29" s="265">
        <f>+D28/D27</f>
        <v>1.5295357363743378E-2</v>
      </c>
      <c r="E29" s="265">
        <f>+E28/E27</f>
        <v>4.5442265816666733E-3</v>
      </c>
      <c r="F29" s="266"/>
      <c r="G29" s="266"/>
      <c r="H29" s="267"/>
      <c r="I29" s="267"/>
    </row>
    <row r="30" spans="1:11" x14ac:dyDescent="0.25">
      <c r="C30" s="279"/>
      <c r="D30" s="279"/>
      <c r="E30" s="279"/>
      <c r="F30" s="234"/>
      <c r="G30" s="234"/>
    </row>
    <row r="31" spans="1:11" x14ac:dyDescent="0.25">
      <c r="E31" s="234"/>
    </row>
    <row r="34" spans="1:9" ht="30.95" customHeight="1" x14ac:dyDescent="0.25">
      <c r="A34" s="301" t="s">
        <v>128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25">
      <c r="A35" s="239" t="s">
        <v>124</v>
      </c>
      <c r="B35" s="240"/>
    </row>
    <row r="36" spans="1:9" x14ac:dyDescent="0.25">
      <c r="A36" s="239" t="s">
        <v>125</v>
      </c>
      <c r="B36" s="240"/>
    </row>
    <row r="37" spans="1:9" x14ac:dyDescent="0.25">
      <c r="A37" s="239" t="s">
        <v>126</v>
      </c>
      <c r="B37" s="240"/>
    </row>
    <row r="38" spans="1:9" x14ac:dyDescent="0.25">
      <c r="A38" s="239" t="s">
        <v>127</v>
      </c>
      <c r="B38" s="240"/>
    </row>
    <row r="39" spans="1:9" x14ac:dyDescent="0.25">
      <c r="A39" s="239"/>
      <c r="B39" s="240"/>
    </row>
    <row r="40" spans="1:9" x14ac:dyDescent="0.25">
      <c r="B40" s="241"/>
      <c r="C40" s="240"/>
      <c r="D40" s="240"/>
      <c r="E40" s="240"/>
      <c r="F40" s="241"/>
    </row>
    <row r="43" spans="1:9" x14ac:dyDescent="0.25">
      <c r="C43" s="233"/>
      <c r="D43" s="233"/>
      <c r="E43" s="233"/>
    </row>
    <row r="50" spans="1:5" x14ac:dyDescent="0.25">
      <c r="C50" s="233"/>
      <c r="D50" s="233"/>
      <c r="E50" s="233"/>
    </row>
    <row r="51" spans="1:5" x14ac:dyDescent="0.25">
      <c r="A51" s="223" t="s">
        <v>113</v>
      </c>
    </row>
  </sheetData>
  <mergeCells count="2">
    <mergeCell ref="C8:H8"/>
    <mergeCell ref="A34:I34"/>
  </mergeCells>
  <printOptions horizontalCentered="1"/>
  <pageMargins left="0.25" right="0.25" top="0.5" bottom="0.5" header="0.3" footer="0.3"/>
  <pageSetup scale="7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6CF9-ADF9-4A2D-BA59-F9690BBF1322}">
  <dimension ref="A1"/>
  <sheetViews>
    <sheetView zoomScale="64" zoomScaleNormal="136" workbookViewId="0">
      <selection sqref="A1:G104857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1772-A21B-473F-9AE6-55F51EC0A660}">
  <dimension ref="A2:F17"/>
  <sheetViews>
    <sheetView workbookViewId="0">
      <selection activeCell="D25" sqref="D25"/>
    </sheetView>
  </sheetViews>
  <sheetFormatPr defaultRowHeight="15" x14ac:dyDescent="0.25"/>
  <cols>
    <col min="1" max="1" width="17.42578125" customWidth="1"/>
    <col min="2" max="3" width="10.5703125" bestFit="1" customWidth="1"/>
    <col min="4" max="5" width="9.42578125" bestFit="1" customWidth="1"/>
    <col min="6" max="6" width="10.5703125" bestFit="1" customWidth="1"/>
  </cols>
  <sheetData>
    <row r="2" spans="1:6" x14ac:dyDescent="0.25">
      <c r="B2" t="s">
        <v>112</v>
      </c>
      <c r="C2" t="s">
        <v>58</v>
      </c>
      <c r="D2" t="s">
        <v>57</v>
      </c>
      <c r="E2" t="s">
        <v>56</v>
      </c>
    </row>
    <row r="3" spans="1:6" x14ac:dyDescent="0.25">
      <c r="A3" t="s">
        <v>12</v>
      </c>
      <c r="B3" s="211">
        <v>20024.98</v>
      </c>
      <c r="C3" s="211">
        <f>+B3*76.92%</f>
        <v>15403.214615999999</v>
      </c>
      <c r="D3" s="211">
        <f>+B3*10.89%</f>
        <v>2180.7203220000001</v>
      </c>
      <c r="E3" s="211">
        <f>+B3*12.19%</f>
        <v>2441.0450619999997</v>
      </c>
      <c r="F3" s="211">
        <f>SUM(C3:E3)</f>
        <v>20024.98</v>
      </c>
    </row>
    <row r="4" spans="1:6" x14ac:dyDescent="0.25">
      <c r="A4" t="s">
        <v>13</v>
      </c>
      <c r="B4" s="211">
        <v>553.03</v>
      </c>
      <c r="C4" s="211">
        <f>+B4*67.13%</f>
        <v>371.24903899999998</v>
      </c>
      <c r="D4" s="211">
        <f>+B4*32.87%</f>
        <v>181.78096099999999</v>
      </c>
      <c r="E4" s="211"/>
      <c r="F4" s="211">
        <f>SUM(C4:E4)</f>
        <v>553.03</v>
      </c>
    </row>
    <row r="5" spans="1:6" x14ac:dyDescent="0.25">
      <c r="A5" t="s">
        <v>14</v>
      </c>
      <c r="B5" s="211">
        <v>4108.72</v>
      </c>
      <c r="C5" s="211">
        <f>+B5*71.72%</f>
        <v>2946.7739839999999</v>
      </c>
      <c r="D5" s="211">
        <f>+B5*16.91%</f>
        <v>694.78455200000008</v>
      </c>
      <c r="E5" s="211">
        <f>+B5*11.37%</f>
        <v>467.16146400000002</v>
      </c>
      <c r="F5" s="211">
        <f>SUM(C5:E5)</f>
        <v>4108.72</v>
      </c>
    </row>
    <row r="6" spans="1:6" x14ac:dyDescent="0.25">
      <c r="A6" t="s">
        <v>15</v>
      </c>
      <c r="B6" s="211">
        <v>99.13</v>
      </c>
      <c r="C6" s="211">
        <f>+B6*74.87%</f>
        <v>74.218631000000002</v>
      </c>
      <c r="D6" s="211"/>
      <c r="E6" s="211">
        <f>+B6*25.13%</f>
        <v>24.911368999999997</v>
      </c>
      <c r="F6" s="211">
        <f>SUM(C6:E6)</f>
        <v>99.13</v>
      </c>
    </row>
    <row r="7" spans="1:6" x14ac:dyDescent="0.25">
      <c r="A7" t="s">
        <v>16</v>
      </c>
      <c r="B7" s="211">
        <v>131.44</v>
      </c>
      <c r="C7" s="211">
        <f>+B7*78%</f>
        <v>102.5232</v>
      </c>
      <c r="D7" s="211">
        <f>+B7*19.17%</f>
        <v>25.197048000000002</v>
      </c>
      <c r="E7" s="211">
        <f>+B7*2.83%</f>
        <v>3.7197520000000002</v>
      </c>
      <c r="F7" s="211">
        <f>SUM(C7:E7)</f>
        <v>131.44</v>
      </c>
    </row>
    <row r="10" spans="1:6" ht="24.75" x14ac:dyDescent="0.25">
      <c r="B10" s="289" t="s">
        <v>115</v>
      </c>
      <c r="C10" s="336" t="s">
        <v>116</v>
      </c>
      <c r="D10" s="336"/>
      <c r="E10" s="336"/>
    </row>
    <row r="17" spans="1:6" x14ac:dyDescent="0.25">
      <c r="A17" s="337" t="s">
        <v>129</v>
      </c>
      <c r="B17" s="337"/>
      <c r="C17" s="337"/>
      <c r="D17" s="337"/>
      <c r="E17" s="337"/>
      <c r="F17" s="337"/>
    </row>
  </sheetData>
  <mergeCells count="2">
    <mergeCell ref="C10:E10"/>
    <mergeCell ref="A17:F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D637-1B7D-427C-A16E-991C70D1B567}">
  <sheetPr>
    <pageSetUpPr fitToPage="1"/>
  </sheetPr>
  <dimension ref="A6:K51"/>
  <sheetViews>
    <sheetView tabSelected="1" topLeftCell="A11" workbookViewId="0">
      <selection activeCell="A46" sqref="A46"/>
    </sheetView>
  </sheetViews>
  <sheetFormatPr defaultColWidth="9.140625" defaultRowHeight="15" x14ac:dyDescent="0.25"/>
  <cols>
    <col min="1" max="1" width="51.42578125" style="223" customWidth="1"/>
    <col min="2" max="2" width="15.85546875" style="223" bestFit="1" customWidth="1"/>
    <col min="3" max="3" width="15.5703125" style="223" customWidth="1"/>
    <col min="4" max="5" width="16.28515625" style="223" bestFit="1" customWidth="1"/>
    <col min="6" max="6" width="15.28515625" style="223" bestFit="1" customWidth="1"/>
    <col min="7" max="7" width="15.140625" style="223" bestFit="1" customWidth="1"/>
    <col min="8" max="8" width="15.85546875" style="223" bestFit="1" customWidth="1"/>
    <col min="9" max="9" width="14.5703125" style="223" bestFit="1" customWidth="1"/>
    <col min="10" max="10" width="15" style="223" bestFit="1" customWidth="1"/>
    <col min="11" max="11" width="12.5703125" style="223" bestFit="1" customWidth="1"/>
    <col min="12" max="16384" width="9.140625" style="223"/>
  </cols>
  <sheetData>
    <row r="6" spans="1:11" ht="18.75" x14ac:dyDescent="0.3">
      <c r="A6" s="220" t="s">
        <v>38</v>
      </c>
      <c r="B6" s="221"/>
      <c r="C6" s="221"/>
      <c r="D6" s="221"/>
      <c r="E6" s="221"/>
      <c r="F6" s="221"/>
      <c r="G6" s="221"/>
      <c r="H6" s="221"/>
      <c r="I6" s="222"/>
    </row>
    <row r="7" spans="1:11" ht="19.5" thickBot="1" x14ac:dyDescent="0.35">
      <c r="A7" s="220"/>
      <c r="B7" s="221"/>
      <c r="C7" s="221"/>
      <c r="D7" s="221"/>
      <c r="E7" s="221"/>
      <c r="F7" s="221"/>
      <c r="G7" s="221"/>
      <c r="H7" s="221"/>
    </row>
    <row r="8" spans="1:11" ht="19.5" thickBot="1" x14ac:dyDescent="0.35">
      <c r="A8" s="220"/>
      <c r="B8" s="224" t="s">
        <v>84</v>
      </c>
      <c r="C8" s="298" t="s">
        <v>89</v>
      </c>
      <c r="D8" s="299"/>
      <c r="E8" s="299"/>
      <c r="F8" s="299"/>
      <c r="G8" s="299"/>
      <c r="H8" s="300"/>
    </row>
    <row r="9" spans="1:11" ht="48" thickBot="1" x14ac:dyDescent="0.3">
      <c r="A9" s="225" t="s">
        <v>39</v>
      </c>
      <c r="B9" s="242" t="s">
        <v>73</v>
      </c>
      <c r="C9" s="270" t="s">
        <v>49</v>
      </c>
      <c r="D9" s="226" t="s">
        <v>50</v>
      </c>
      <c r="E9" s="226" t="s">
        <v>51</v>
      </c>
      <c r="F9" s="226" t="s">
        <v>76</v>
      </c>
      <c r="G9" s="226" t="s">
        <v>77</v>
      </c>
      <c r="H9" s="250" t="s">
        <v>117</v>
      </c>
      <c r="I9" s="227" t="s">
        <v>40</v>
      </c>
    </row>
    <row r="10" spans="1:11" ht="15.75" x14ac:dyDescent="0.25">
      <c r="A10" s="228"/>
      <c r="B10" s="243"/>
      <c r="C10" s="271"/>
      <c r="D10" s="229"/>
      <c r="E10" s="229"/>
      <c r="F10" s="229"/>
      <c r="G10" s="229"/>
      <c r="H10" s="251"/>
      <c r="I10" s="230"/>
    </row>
    <row r="11" spans="1:11" ht="15.75" x14ac:dyDescent="0.25">
      <c r="A11" s="231" t="s">
        <v>47</v>
      </c>
      <c r="B11" s="244">
        <v>228963917.38029712</v>
      </c>
      <c r="C11" s="272">
        <f>+[1]SCFF!K57</f>
        <v>191440050.92787924</v>
      </c>
      <c r="D11" s="246">
        <f>+[1]SCFF!O57</f>
        <v>38270827.182803653</v>
      </c>
      <c r="E11" s="246">
        <f>+[1]SCFF!S57</f>
        <v>35819300.344274126</v>
      </c>
      <c r="F11" s="246"/>
      <c r="G11" s="246"/>
      <c r="H11" s="252">
        <f>+[1]SCFF!W57</f>
        <v>265530178.45495701</v>
      </c>
      <c r="I11" s="249">
        <f t="shared" ref="I11:I18" si="0">+H11-B11</f>
        <v>36566261.074659884</v>
      </c>
      <c r="J11" s="233"/>
    </row>
    <row r="12" spans="1:11" ht="15.75" x14ac:dyDescent="0.25">
      <c r="A12" s="231" t="s">
        <v>82</v>
      </c>
      <c r="B12" s="244">
        <v>0</v>
      </c>
      <c r="C12" s="272">
        <v>0</v>
      </c>
      <c r="D12" s="246">
        <v>0</v>
      </c>
      <c r="E12" s="246">
        <v>0</v>
      </c>
      <c r="F12" s="246"/>
      <c r="G12" s="246">
        <f>-E12-D12</f>
        <v>0</v>
      </c>
      <c r="H12" s="252">
        <f>+G12+F12+E12+D12+C12</f>
        <v>0</v>
      </c>
      <c r="I12" s="249">
        <f t="shared" si="0"/>
        <v>0</v>
      </c>
      <c r="J12" s="233"/>
    </row>
    <row r="13" spans="1:11" ht="15.75" x14ac:dyDescent="0.25">
      <c r="A13" s="231" t="s">
        <v>81</v>
      </c>
      <c r="B13" s="244">
        <v>632931</v>
      </c>
      <c r="C13" s="272">
        <f>+H13*[1]FTES!$C$13</f>
        <v>484750.44340535311</v>
      </c>
      <c r="D13" s="246">
        <f>+H13*[1]FTES!$C$14</f>
        <v>72047.102610496629</v>
      </c>
      <c r="E13" s="246">
        <f>+H13*[1]FTES!$C$15</f>
        <v>76133.453984150226</v>
      </c>
      <c r="F13" s="246"/>
      <c r="G13" s="246"/>
      <c r="H13" s="252">
        <v>632931</v>
      </c>
      <c r="I13" s="249">
        <f t="shared" si="0"/>
        <v>0</v>
      </c>
      <c r="K13" s="234"/>
    </row>
    <row r="14" spans="1:11" ht="15.75" x14ac:dyDescent="0.25">
      <c r="A14" s="231" t="s">
        <v>87</v>
      </c>
      <c r="B14" s="244">
        <v>3488843</v>
      </c>
      <c r="C14" s="272">
        <f>+H14*[1]FTES!$C$13</f>
        <v>2672041.9622702352</v>
      </c>
      <c r="D14" s="246">
        <f>+H14*[1]FTES!$C$14</f>
        <v>397138.12344933796</v>
      </c>
      <c r="E14" s="246">
        <f>+H14*[1]FTES!$C$15</f>
        <v>419662.91428042651</v>
      </c>
      <c r="F14" s="246"/>
      <c r="G14" s="246"/>
      <c r="H14" s="252">
        <v>3488843</v>
      </c>
      <c r="I14" s="249">
        <f t="shared" si="0"/>
        <v>0</v>
      </c>
      <c r="K14" s="234"/>
    </row>
    <row r="15" spans="1:11" ht="15.75" x14ac:dyDescent="0.25">
      <c r="A15" s="231" t="s">
        <v>41</v>
      </c>
      <c r="B15" s="244">
        <v>4433341.666666667</v>
      </c>
      <c r="C15" s="272">
        <f>+H15*[1]FTES!E13</f>
        <v>3728870.3359493506</v>
      </c>
      <c r="D15" s="246">
        <f>+H15*[1]FTES!E14</f>
        <v>570227.77913583291</v>
      </c>
      <c r="E15" s="246">
        <f>+H15*[1]FTES!E15</f>
        <v>590938.20491481689</v>
      </c>
      <c r="F15" s="246"/>
      <c r="G15" s="246"/>
      <c r="H15" s="252">
        <f>+'[1]Lottery PYs'!C9</f>
        <v>4890036.32</v>
      </c>
      <c r="I15" s="249">
        <f t="shared" si="0"/>
        <v>456694.65333333332</v>
      </c>
    </row>
    <row r="16" spans="1:11" ht="15.75" x14ac:dyDescent="0.25">
      <c r="A16" s="231" t="s">
        <v>42</v>
      </c>
      <c r="B16" s="244">
        <v>845814</v>
      </c>
      <c r="C16" s="272">
        <f>+H16*[1]FTES!C13</f>
        <v>657416.23669783946</v>
      </c>
      <c r="D16" s="246">
        <f>+H16*[1]FTES!C14</f>
        <v>97709.93654062273</v>
      </c>
      <c r="E16" s="246">
        <f>+H16*[1]FTES!C15</f>
        <v>103251.82676153784</v>
      </c>
      <c r="F16" s="246"/>
      <c r="G16" s="246"/>
      <c r="H16" s="252">
        <v>858378</v>
      </c>
      <c r="I16" s="249">
        <f t="shared" si="0"/>
        <v>12564</v>
      </c>
    </row>
    <row r="17" spans="1:11" ht="15.75" x14ac:dyDescent="0.25">
      <c r="A17" s="231" t="s">
        <v>43</v>
      </c>
      <c r="B17" s="244">
        <v>4500000</v>
      </c>
      <c r="C17" s="272">
        <f>+H17*[1]FTES!G13</f>
        <v>4579116.6411457807</v>
      </c>
      <c r="D17" s="246">
        <f>+H17*[1]FTES!G14</f>
        <v>694543.42065449606</v>
      </c>
      <c r="E17" s="246">
        <f>+H17*[1]FTES!G15</f>
        <v>726339.93819972302</v>
      </c>
      <c r="F17" s="246"/>
      <c r="G17" s="246"/>
      <c r="H17" s="252">
        <v>6000000</v>
      </c>
      <c r="I17" s="249">
        <f t="shared" si="0"/>
        <v>1500000</v>
      </c>
    </row>
    <row r="18" spans="1:11" ht="16.5" thickBot="1" x14ac:dyDescent="0.3">
      <c r="A18" s="231" t="s">
        <v>44</v>
      </c>
      <c r="B18" s="244">
        <v>207000</v>
      </c>
      <c r="C18" s="272">
        <f>+H18*[1]FTES!G13</f>
        <v>133557.56870008528</v>
      </c>
      <c r="D18" s="246">
        <f>+H18*[1]FTES!G14</f>
        <v>20257.516435756133</v>
      </c>
      <c r="E18" s="246">
        <f>+H18*[1]FTES!G15</f>
        <v>21184.914864158585</v>
      </c>
      <c r="F18" s="246"/>
      <c r="G18" s="246"/>
      <c r="H18" s="252">
        <v>175000</v>
      </c>
      <c r="I18" s="249">
        <f t="shared" si="0"/>
        <v>-32000</v>
      </c>
    </row>
    <row r="19" spans="1:11" ht="16.5" thickBot="1" x14ac:dyDescent="0.3">
      <c r="A19" s="259" t="s">
        <v>75</v>
      </c>
      <c r="B19" s="254">
        <f>SUM(B11:B18)</f>
        <v>243071847.04696378</v>
      </c>
      <c r="C19" s="273">
        <f>SUM(C11:C18)</f>
        <v>203695804.11604792</v>
      </c>
      <c r="D19" s="255">
        <f>SUM(D11:D18)</f>
        <v>40122751.061630204</v>
      </c>
      <c r="E19" s="255">
        <f>SUM(E11:E18)</f>
        <v>37756811.597278938</v>
      </c>
      <c r="F19" s="255"/>
      <c r="G19" s="255">
        <f>SUM(G11:G18)</f>
        <v>0</v>
      </c>
      <c r="H19" s="256">
        <f>SUM(H11:H18)</f>
        <v>281575366.774957</v>
      </c>
      <c r="I19" s="257">
        <f>SUM(I11:I18)</f>
        <v>38503519.72799322</v>
      </c>
      <c r="J19" s="240"/>
      <c r="K19" s="234"/>
    </row>
    <row r="20" spans="1:11" ht="15.75" x14ac:dyDescent="0.25">
      <c r="A20" s="236" t="s">
        <v>74</v>
      </c>
      <c r="B20" s="245"/>
      <c r="C20" s="280">
        <v>174269221.74885845</v>
      </c>
      <c r="D20" s="281">
        <v>36100754.149384111</v>
      </c>
      <c r="E20" s="281">
        <v>33739256.061161049</v>
      </c>
      <c r="F20" s="235"/>
      <c r="G20" s="235"/>
      <c r="H20" s="253"/>
      <c r="I20" s="237"/>
      <c r="K20" s="234"/>
    </row>
    <row r="21" spans="1:11" ht="15.75" x14ac:dyDescent="0.25">
      <c r="A21" s="236" t="s">
        <v>101</v>
      </c>
      <c r="B21" s="245"/>
      <c r="C21" s="274">
        <f>+C19-C20</f>
        <v>29426582.367189467</v>
      </c>
      <c r="D21" s="248">
        <f>+D19-D20</f>
        <v>4021996.9122460932</v>
      </c>
      <c r="E21" s="248">
        <f>+E19-E20</f>
        <v>4017555.536117889</v>
      </c>
      <c r="F21" s="235"/>
      <c r="G21" s="235"/>
      <c r="H21" s="253"/>
      <c r="I21" s="253"/>
      <c r="K21" s="234"/>
    </row>
    <row r="22" spans="1:11" ht="15.75" x14ac:dyDescent="0.25">
      <c r="A22" s="236" t="s">
        <v>102</v>
      </c>
      <c r="B22" s="268"/>
      <c r="C22" s="275">
        <f>+C21/C20</f>
        <v>0.1688570251928736</v>
      </c>
      <c r="D22" s="260">
        <f>+D21/D20</f>
        <v>0.11141032942423197</v>
      </c>
      <c r="E22" s="260">
        <f>+E21/E20</f>
        <v>0.11907658926548469</v>
      </c>
      <c r="F22" s="261"/>
      <c r="G22" s="261"/>
      <c r="H22" s="262"/>
      <c r="I22" s="262"/>
    </row>
    <row r="23" spans="1:11" ht="15.75" x14ac:dyDescent="0.25">
      <c r="A23" s="236"/>
      <c r="B23" s="268"/>
      <c r="C23" s="275"/>
      <c r="D23" s="260"/>
      <c r="E23" s="260"/>
      <c r="F23" s="261"/>
      <c r="G23" s="261"/>
      <c r="H23" s="262"/>
      <c r="I23" s="262"/>
    </row>
    <row r="24" spans="1:11" s="232" customFormat="1" ht="15.75" x14ac:dyDescent="0.25">
      <c r="A24" s="263"/>
      <c r="B24" s="244"/>
      <c r="C24" s="263"/>
      <c r="H24" s="252"/>
      <c r="I24" s="252"/>
    </row>
    <row r="25" spans="1:11" s="232" customFormat="1" ht="16.5" thickBot="1" x14ac:dyDescent="0.3">
      <c r="A25" s="231" t="s">
        <v>103</v>
      </c>
      <c r="B25" s="247">
        <f>44654858-2353250</f>
        <v>42301608</v>
      </c>
      <c r="C25" s="276">
        <f>+[1]SCFF!L59*(-$F$25-$G$25)</f>
        <v>33108098.133295145</v>
      </c>
      <c r="D25" s="258">
        <f>+[1]SCFF!P59*(-$F$25-$G$25)</f>
        <v>5390621.6941419858</v>
      </c>
      <c r="E25" s="258">
        <f>+[1]SCFF!T59*(-$F$25-$G$25)</f>
        <v>5438919.1725628693</v>
      </c>
      <c r="F25" s="258">
        <v>-53087621</v>
      </c>
      <c r="G25" s="258">
        <v>9149982</v>
      </c>
      <c r="H25" s="264">
        <f>SUM(C25:G25)</f>
        <v>0</v>
      </c>
      <c r="I25" s="264">
        <f>-F25-G25-B25</f>
        <v>1636031</v>
      </c>
      <c r="J25" s="240"/>
    </row>
    <row r="26" spans="1:11" s="232" customFormat="1" ht="16.5" thickBot="1" x14ac:dyDescent="0.3">
      <c r="A26" s="259" t="s">
        <v>105</v>
      </c>
      <c r="B26" s="254"/>
      <c r="C26" s="273">
        <f>+C19-C25</f>
        <v>170587705.98275277</v>
      </c>
      <c r="D26" s="255">
        <f>+D19-D25</f>
        <v>34732129.36748822</v>
      </c>
      <c r="E26" s="255">
        <f>+E19-E25</f>
        <v>32317892.42471607</v>
      </c>
      <c r="F26" s="255"/>
      <c r="G26" s="255"/>
      <c r="H26" s="256">
        <f>SUM(C26:E26)</f>
        <v>237637727.77495706</v>
      </c>
      <c r="I26" s="256"/>
    </row>
    <row r="27" spans="1:11" ht="15.75" x14ac:dyDescent="0.25">
      <c r="A27" s="236" t="s">
        <v>104</v>
      </c>
      <c r="B27" s="268"/>
      <c r="C27" s="282">
        <v>142493567.90821621</v>
      </c>
      <c r="D27" s="283">
        <v>30860370.37119459</v>
      </c>
      <c r="E27" s="283">
        <v>28453685.679992825</v>
      </c>
      <c r="F27" s="232"/>
      <c r="G27" s="232"/>
      <c r="H27" s="252"/>
      <c r="I27" s="262"/>
    </row>
    <row r="28" spans="1:11" ht="15.75" x14ac:dyDescent="0.25">
      <c r="A28" s="236" t="s">
        <v>101</v>
      </c>
      <c r="B28" s="245"/>
      <c r="C28" s="274">
        <f>+C26-C27</f>
        <v>28094138.074536562</v>
      </c>
      <c r="D28" s="248">
        <f>+D26-D27</f>
        <v>3871758.9962936305</v>
      </c>
      <c r="E28" s="248">
        <f>+E26-E27</f>
        <v>3864206.7447232455</v>
      </c>
      <c r="F28" s="234"/>
      <c r="G28" s="234"/>
      <c r="H28" s="277"/>
      <c r="I28" s="262"/>
    </row>
    <row r="29" spans="1:11" ht="16.5" thickBot="1" x14ac:dyDescent="0.3">
      <c r="A29" s="238" t="s">
        <v>102</v>
      </c>
      <c r="B29" s="269"/>
      <c r="C29" s="278">
        <f>+C28/C27</f>
        <v>0.19716074547752727</v>
      </c>
      <c r="D29" s="265">
        <f>+D28/D27</f>
        <v>0.12546054858458772</v>
      </c>
      <c r="E29" s="265">
        <f>+E28/E27</f>
        <v>0.13580689644858057</v>
      </c>
      <c r="F29" s="266"/>
      <c r="G29" s="266"/>
      <c r="H29" s="267"/>
      <c r="I29" s="267"/>
    </row>
    <row r="30" spans="1:11" x14ac:dyDescent="0.25">
      <c r="C30" s="279"/>
      <c r="D30" s="279"/>
      <c r="E30" s="279"/>
      <c r="F30" s="234"/>
      <c r="G30" s="234"/>
    </row>
    <row r="31" spans="1:11" x14ac:dyDescent="0.25">
      <c r="E31" s="234"/>
    </row>
    <row r="32" spans="1:11" x14ac:dyDescent="0.25">
      <c r="A32" s="223" t="s">
        <v>86</v>
      </c>
    </row>
    <row r="34" spans="1:9" ht="30.95" customHeight="1" x14ac:dyDescent="0.25">
      <c r="A34" s="301" t="s">
        <v>114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25">
      <c r="A35" s="239" t="s">
        <v>90</v>
      </c>
    </row>
    <row r="36" spans="1:9" x14ac:dyDescent="0.25">
      <c r="A36" s="239" t="s">
        <v>91</v>
      </c>
    </row>
    <row r="37" spans="1:9" x14ac:dyDescent="0.25">
      <c r="A37" s="239" t="s">
        <v>92</v>
      </c>
    </row>
    <row r="40" spans="1:9" x14ac:dyDescent="0.25">
      <c r="C40" s="240"/>
      <c r="D40" s="240"/>
      <c r="E40" s="240"/>
      <c r="F40" s="241"/>
    </row>
    <row r="43" spans="1:9" x14ac:dyDescent="0.25">
      <c r="C43" s="233"/>
      <c r="D43" s="233"/>
      <c r="E43" s="233"/>
    </row>
    <row r="50" spans="1:5" x14ac:dyDescent="0.25">
      <c r="C50" s="233"/>
      <c r="D50" s="233"/>
      <c r="E50" s="233"/>
    </row>
    <row r="51" spans="1:5" x14ac:dyDescent="0.25">
      <c r="A51" s="223" t="s">
        <v>118</v>
      </c>
    </row>
  </sheetData>
  <mergeCells count="2">
    <mergeCell ref="C8:H8"/>
    <mergeCell ref="A34:I34"/>
  </mergeCells>
  <pageMargins left="0.7" right="0.7" top="0.75" bottom="0.75" header="0.3" footer="0.3"/>
  <pageSetup scale="6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9B19-A258-4951-ABCC-911280F22056}">
  <dimension ref="A1:G20"/>
  <sheetViews>
    <sheetView zoomScale="91" zoomScaleNormal="238" workbookViewId="0">
      <selection activeCell="C20" sqref="C20"/>
    </sheetView>
  </sheetViews>
  <sheetFormatPr defaultRowHeight="15" x14ac:dyDescent="0.25"/>
  <cols>
    <col min="2" max="2" width="44.7109375" customWidth="1"/>
    <col min="3" max="5" width="15.7109375" customWidth="1"/>
    <col min="6" max="6" width="15.28515625" bestFit="1" customWidth="1"/>
    <col min="7" max="7" width="16" bestFit="1" customWidth="1"/>
  </cols>
  <sheetData>
    <row r="1" spans="1:7" ht="21" x14ac:dyDescent="0.35">
      <c r="A1" s="213" t="s">
        <v>79</v>
      </c>
    </row>
    <row r="4" spans="1:7" x14ac:dyDescent="0.25">
      <c r="C4" s="212" t="s">
        <v>58</v>
      </c>
      <c r="D4" s="212" t="s">
        <v>57</v>
      </c>
      <c r="E4" s="212" t="s">
        <v>56</v>
      </c>
      <c r="F4" s="212" t="s">
        <v>98</v>
      </c>
    </row>
    <row r="5" spans="1:7" x14ac:dyDescent="0.25">
      <c r="B5" t="s">
        <v>121</v>
      </c>
      <c r="C5" s="189">
        <v>192700740</v>
      </c>
      <c r="D5" s="189">
        <v>40328235</v>
      </c>
      <c r="E5" s="189">
        <v>37473192</v>
      </c>
      <c r="F5" s="188">
        <f>SUM(C5:E5)</f>
        <v>270502167</v>
      </c>
    </row>
    <row r="6" spans="1:7" x14ac:dyDescent="0.25">
      <c r="B6" t="s">
        <v>119</v>
      </c>
      <c r="C6" s="190">
        <f>+C5*SCFF!G54</f>
        <v>4644087.8339999998</v>
      </c>
      <c r="D6" s="190">
        <f>+D5*SCFF!G54</f>
        <v>971910.46349999995</v>
      </c>
      <c r="E6" s="190">
        <f>+E5*SCFF!G54</f>
        <v>903103.92720000003</v>
      </c>
      <c r="F6" s="219"/>
    </row>
    <row r="7" spans="1:7" x14ac:dyDescent="0.25">
      <c r="B7" t="s">
        <v>80</v>
      </c>
      <c r="C7" s="189">
        <f>SUM(C5:C6)</f>
        <v>197344827.83399999</v>
      </c>
      <c r="D7" s="189">
        <f t="shared" ref="D7:E7" si="0">SUM(D5:D6)</f>
        <v>41300145.463500001</v>
      </c>
      <c r="E7" s="189">
        <f t="shared" si="0"/>
        <v>38376295.927199997</v>
      </c>
      <c r="F7" s="189"/>
    </row>
    <row r="8" spans="1:7" x14ac:dyDescent="0.25">
      <c r="C8" s="211"/>
      <c r="D8" s="211"/>
      <c r="E8" s="211"/>
    </row>
    <row r="9" spans="1:7" x14ac:dyDescent="0.25">
      <c r="B9" t="s">
        <v>120</v>
      </c>
      <c r="C9" s="189">
        <f>+SCFF!K57</f>
        <v>187747384.71133608</v>
      </c>
      <c r="D9" s="189">
        <f>+SCFF!O57</f>
        <v>39291600.950670376</v>
      </c>
      <c r="E9" s="189">
        <f>+SCFF!S57</f>
        <v>36509947.293571696</v>
      </c>
      <c r="F9" s="189">
        <f>+SCFF!H57</f>
        <v>263548932.95557809</v>
      </c>
      <c r="G9" s="218">
        <f>SUM(C9:E9)-F9</f>
        <v>0</v>
      </c>
    </row>
    <row r="10" spans="1:7" x14ac:dyDescent="0.25">
      <c r="C10" s="211"/>
      <c r="D10" s="211"/>
      <c r="E10" s="211"/>
    </row>
    <row r="11" spans="1:7" x14ac:dyDescent="0.25">
      <c r="B11" t="s">
        <v>93</v>
      </c>
      <c r="C11" s="189">
        <f>+C9-C7</f>
        <v>-9597443.1226639152</v>
      </c>
      <c r="D11" s="189">
        <f>+D9-D7</f>
        <v>-2008544.5128296241</v>
      </c>
      <c r="E11" s="189">
        <f>+E9-E7</f>
        <v>-1866348.6336283013</v>
      </c>
    </row>
    <row r="12" spans="1:7" x14ac:dyDescent="0.25">
      <c r="C12" s="211"/>
      <c r="D12" s="211"/>
      <c r="E12" s="211"/>
    </row>
    <row r="13" spans="1:7" x14ac:dyDescent="0.25">
      <c r="B13" t="s">
        <v>94</v>
      </c>
      <c r="C13" s="189">
        <f>MIN(C9,C7)</f>
        <v>187747384.71133608</v>
      </c>
      <c r="D13" s="189">
        <f t="shared" ref="D13:E13" si="1">MIN(D9,D7)</f>
        <v>39291600.950670376</v>
      </c>
      <c r="E13" s="189">
        <f t="shared" si="1"/>
        <v>36509947.293571696</v>
      </c>
      <c r="F13" s="189">
        <f>MAX(F9,F7)</f>
        <v>263548932.95557809</v>
      </c>
      <c r="G13" s="218">
        <f>SUM(C13:E13)-F13</f>
        <v>0</v>
      </c>
    </row>
    <row r="14" spans="1:7" x14ac:dyDescent="0.25">
      <c r="C14" s="178"/>
      <c r="D14" s="178"/>
      <c r="E14" s="178"/>
    </row>
    <row r="15" spans="1:7" x14ac:dyDescent="0.25">
      <c r="C15" s="211"/>
      <c r="D15" s="211"/>
      <c r="E15" s="211"/>
    </row>
    <row r="16" spans="1:7" x14ac:dyDescent="0.25">
      <c r="C16" s="211"/>
      <c r="D16" s="211"/>
      <c r="E16" s="211"/>
    </row>
    <row r="17" spans="2:5" x14ac:dyDescent="0.25">
      <c r="B17" t="s">
        <v>110</v>
      </c>
      <c r="C17" s="284"/>
      <c r="D17" s="284"/>
      <c r="E17" s="284"/>
    </row>
    <row r="18" spans="2:5" x14ac:dyDescent="0.25">
      <c r="B18" s="286" t="s">
        <v>107</v>
      </c>
      <c r="C18" s="284" t="s">
        <v>108</v>
      </c>
      <c r="D18" s="285" t="s">
        <v>109</v>
      </c>
      <c r="E18" s="285" t="s">
        <v>109</v>
      </c>
    </row>
    <row r="19" spans="2:5" x14ac:dyDescent="0.25">
      <c r="B19" s="286" t="s">
        <v>84</v>
      </c>
      <c r="C19" s="284" t="s">
        <v>108</v>
      </c>
      <c r="D19" s="285" t="s">
        <v>109</v>
      </c>
      <c r="E19" s="285" t="s">
        <v>109</v>
      </c>
    </row>
    <row r="20" spans="2:5" x14ac:dyDescent="0.25">
      <c r="B20" s="286" t="s">
        <v>111</v>
      </c>
      <c r="C20" s="284" t="s">
        <v>108</v>
      </c>
      <c r="D20" s="284" t="s">
        <v>108</v>
      </c>
      <c r="E20" s="284" t="s">
        <v>108</v>
      </c>
    </row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06D6-9A02-4B25-845C-45EF7C98BE93}">
  <sheetPr>
    <pageSetUpPr fitToPage="1"/>
  </sheetPr>
  <dimension ref="A1:Y62"/>
  <sheetViews>
    <sheetView topLeftCell="A24" zoomScale="64" zoomScaleNormal="130" workbookViewId="0">
      <selection activeCell="A24" sqref="A24:A52"/>
    </sheetView>
  </sheetViews>
  <sheetFormatPr defaultRowHeight="15" x14ac:dyDescent="0.25"/>
  <cols>
    <col min="1" max="1" width="14.42578125" customWidth="1"/>
    <col min="2" max="2" width="6.42578125" customWidth="1"/>
    <col min="3" max="3" width="27.42578125" customWidth="1"/>
    <col min="4" max="4" width="6.28515625" customWidth="1"/>
    <col min="5" max="5" width="16.28515625" customWidth="1"/>
    <col min="6" max="6" width="2.7109375" customWidth="1"/>
    <col min="7" max="7" width="11.28515625" bestFit="1" customWidth="1"/>
    <col min="8" max="8" width="15.85546875" customWidth="1"/>
    <col min="9" max="9" width="3.7109375" customWidth="1"/>
    <col min="10" max="10" width="16.28515625" bestFit="1" customWidth="1"/>
    <col min="11" max="11" width="16.28515625" customWidth="1"/>
    <col min="13" max="13" width="3.7109375" customWidth="1"/>
    <col min="14" max="14" width="16.28515625" bestFit="1" customWidth="1"/>
    <col min="15" max="15" width="15" bestFit="1" customWidth="1"/>
    <col min="16" max="16" width="7.7109375" bestFit="1" customWidth="1"/>
    <col min="17" max="17" width="3.7109375" customWidth="1"/>
    <col min="18" max="18" width="16.28515625" bestFit="1" customWidth="1"/>
    <col min="19" max="19" width="15" bestFit="1" customWidth="1"/>
    <col min="20" max="20" width="7.7109375" bestFit="1" customWidth="1"/>
    <col min="21" max="21" width="3.7109375" customWidth="1"/>
    <col min="22" max="22" width="16.28515625" bestFit="1" customWidth="1"/>
    <col min="23" max="23" width="16.140625" bestFit="1" customWidth="1"/>
    <col min="24" max="24" width="14.42578125" customWidth="1"/>
  </cols>
  <sheetData>
    <row r="1" spans="1:24" x14ac:dyDescent="0.25">
      <c r="G1" s="1"/>
      <c r="H1" s="1"/>
      <c r="I1" s="2"/>
      <c r="J1" s="3"/>
      <c r="K1" s="4"/>
      <c r="L1" s="2"/>
      <c r="M1" s="5"/>
      <c r="N1" s="5"/>
      <c r="O1" s="6"/>
      <c r="P1" s="5"/>
      <c r="Q1" s="7"/>
      <c r="R1" s="7"/>
      <c r="S1" s="7"/>
      <c r="T1" s="7"/>
      <c r="U1" s="8"/>
      <c r="V1" s="8"/>
      <c r="W1" s="8"/>
    </row>
    <row r="2" spans="1:24" ht="28.5" x14ac:dyDescent="0.45">
      <c r="A2" s="309" t="s">
        <v>0</v>
      </c>
      <c r="B2" s="309"/>
      <c r="C2" s="309"/>
      <c r="D2" s="309"/>
      <c r="E2" s="309"/>
      <c r="F2" s="309"/>
      <c r="G2" s="309"/>
      <c r="H2" s="309"/>
      <c r="I2" s="2"/>
      <c r="J2" s="311"/>
      <c r="K2" s="311"/>
      <c r="M2" s="5"/>
      <c r="N2" s="311"/>
      <c r="O2" s="311"/>
      <c r="Q2" s="7"/>
      <c r="R2" s="311"/>
      <c r="S2" s="311"/>
      <c r="U2" s="8"/>
      <c r="V2" s="302" t="s">
        <v>1</v>
      </c>
      <c r="W2" s="302"/>
    </row>
    <row r="3" spans="1:24" ht="88.5" customHeight="1" thickBot="1" x14ac:dyDescent="0.3">
      <c r="A3" s="310"/>
      <c r="B3" s="310"/>
      <c r="C3" s="310"/>
      <c r="D3" s="310"/>
      <c r="E3" s="310"/>
      <c r="F3" s="310"/>
      <c r="G3" s="310"/>
      <c r="H3" s="310"/>
      <c r="I3" s="2"/>
      <c r="J3" s="303"/>
      <c r="K3" s="303"/>
      <c r="L3" s="303"/>
      <c r="M3" s="9"/>
      <c r="N3" s="303"/>
      <c r="O3" s="303"/>
      <c r="P3" s="303"/>
      <c r="Q3" s="7"/>
      <c r="R3" s="303"/>
      <c r="S3" s="303"/>
      <c r="T3" s="303"/>
      <c r="U3" s="8"/>
      <c r="V3" s="304"/>
      <c r="W3" s="304"/>
    </row>
    <row r="4" spans="1:24" ht="28.5" x14ac:dyDescent="0.35">
      <c r="A4" s="10"/>
      <c r="B4" s="11"/>
      <c r="C4" s="11"/>
      <c r="D4" s="11"/>
      <c r="E4" s="12"/>
      <c r="F4" s="12"/>
      <c r="G4" s="13"/>
      <c r="H4" s="13"/>
      <c r="I4" s="2"/>
      <c r="J4" s="11"/>
      <c r="K4" s="14"/>
      <c r="L4" s="15"/>
      <c r="M4" s="9"/>
      <c r="N4" s="11"/>
      <c r="O4" s="14"/>
      <c r="P4" s="15"/>
      <c r="Q4" s="7"/>
      <c r="R4" s="11"/>
      <c r="S4" s="14"/>
      <c r="T4" s="15"/>
      <c r="U4" s="8"/>
      <c r="V4" s="16"/>
      <c r="W4" s="12"/>
    </row>
    <row r="5" spans="1:24" ht="21" x14ac:dyDescent="0.35">
      <c r="A5" s="192" t="s">
        <v>123</v>
      </c>
      <c r="B5" s="193"/>
      <c r="C5" s="193"/>
      <c r="E5" s="192"/>
      <c r="F5" s="192"/>
      <c r="G5" s="192"/>
      <c r="H5" s="192"/>
      <c r="I5" s="18"/>
      <c r="J5" s="19"/>
      <c r="K5" s="305"/>
      <c r="L5" s="306"/>
      <c r="M5" s="9"/>
      <c r="N5" s="20"/>
      <c r="O5" s="305"/>
      <c r="P5" s="306"/>
      <c r="Q5" s="21"/>
      <c r="R5" s="20"/>
      <c r="S5" s="305"/>
      <c r="T5" s="306"/>
      <c r="U5" s="22"/>
      <c r="V5" s="23"/>
      <c r="W5" s="24"/>
    </row>
    <row r="6" spans="1:24" ht="21" x14ac:dyDescent="0.35">
      <c r="A6" s="193"/>
      <c r="B6" s="193"/>
      <c r="C6" s="193"/>
      <c r="D6" s="17"/>
      <c r="E6" s="19"/>
      <c r="F6" s="19"/>
      <c r="G6" s="19"/>
      <c r="H6" s="19"/>
      <c r="I6" s="18"/>
      <c r="J6" s="19"/>
      <c r="K6" s="25"/>
      <c r="L6" s="26"/>
      <c r="M6" s="9"/>
      <c r="N6" s="20"/>
      <c r="O6" s="26"/>
      <c r="P6" s="26"/>
      <c r="Q6" s="21"/>
      <c r="R6" s="20"/>
      <c r="S6" s="26"/>
      <c r="T6" s="26"/>
      <c r="U6" s="22"/>
      <c r="V6" s="23"/>
      <c r="W6" s="24"/>
    </row>
    <row r="7" spans="1:24" ht="60.75" thickBot="1" x14ac:dyDescent="0.3">
      <c r="A7" s="194"/>
      <c r="B7" s="194"/>
      <c r="C7" s="194"/>
      <c r="D7" s="27"/>
      <c r="E7" s="28" t="s">
        <v>2</v>
      </c>
      <c r="F7" s="29"/>
      <c r="G7" s="30" t="s">
        <v>3</v>
      </c>
      <c r="H7" s="31" t="s">
        <v>95</v>
      </c>
      <c r="I7" s="18"/>
      <c r="J7" s="32" t="s">
        <v>2</v>
      </c>
      <c r="K7" s="31" t="s">
        <v>4</v>
      </c>
      <c r="L7" s="33" t="s">
        <v>5</v>
      </c>
      <c r="M7" s="9"/>
      <c r="N7" s="32" t="s">
        <v>2</v>
      </c>
      <c r="O7" s="31" t="s">
        <v>4</v>
      </c>
      <c r="P7" s="33" t="s">
        <v>5</v>
      </c>
      <c r="Q7" s="21"/>
      <c r="R7" s="32" t="s">
        <v>2</v>
      </c>
      <c r="S7" s="31" t="s">
        <v>4</v>
      </c>
      <c r="T7" s="33" t="s">
        <v>5</v>
      </c>
      <c r="U7" s="22"/>
      <c r="V7" s="32" t="s">
        <v>2</v>
      </c>
      <c r="W7" s="33" t="s">
        <v>6</v>
      </c>
    </row>
    <row r="8" spans="1:24" ht="16.5" x14ac:dyDescent="0.3">
      <c r="A8" s="307" t="s">
        <v>7</v>
      </c>
      <c r="C8" s="34"/>
      <c r="D8" s="34"/>
      <c r="E8" s="35"/>
      <c r="F8" s="36"/>
      <c r="G8" s="37"/>
      <c r="H8" s="37"/>
      <c r="I8" s="2"/>
      <c r="J8" s="36"/>
      <c r="K8" s="37"/>
      <c r="L8" s="15"/>
      <c r="M8" s="5"/>
      <c r="N8" s="36"/>
      <c r="O8" s="37"/>
      <c r="P8" s="15"/>
      <c r="Q8" s="7"/>
      <c r="R8" s="36"/>
      <c r="S8" s="37"/>
      <c r="T8" s="15"/>
      <c r="U8" s="8"/>
      <c r="V8" s="38"/>
    </row>
    <row r="9" spans="1:24" ht="16.5" x14ac:dyDescent="0.3">
      <c r="A9" s="307"/>
      <c r="C9" s="39" t="s">
        <v>7</v>
      </c>
      <c r="D9" s="34"/>
      <c r="E9" s="40"/>
      <c r="F9" s="36"/>
      <c r="G9" s="37"/>
      <c r="H9" s="290">
        <v>22193815</v>
      </c>
      <c r="I9" s="2"/>
      <c r="J9" s="36"/>
      <c r="K9" s="290">
        <v>8877529</v>
      </c>
      <c r="L9" s="15"/>
      <c r="M9" s="5"/>
      <c r="N9" s="36"/>
      <c r="O9" s="290">
        <v>6658143</v>
      </c>
      <c r="P9" s="15"/>
      <c r="Q9" s="7"/>
      <c r="R9" s="36"/>
      <c r="S9" s="290">
        <v>6658143</v>
      </c>
      <c r="T9" s="15"/>
      <c r="U9" s="8"/>
      <c r="V9" s="38"/>
      <c r="W9" s="290">
        <v>22193815</v>
      </c>
      <c r="X9" s="41">
        <f>+H9-W9</f>
        <v>0</v>
      </c>
    </row>
    <row r="10" spans="1:24" ht="16.5" x14ac:dyDescent="0.3">
      <c r="A10" s="307"/>
      <c r="C10" s="39" t="s">
        <v>8</v>
      </c>
      <c r="D10" s="34"/>
      <c r="E10" s="40"/>
      <c r="F10" s="36"/>
      <c r="G10" s="37"/>
      <c r="H10" s="290">
        <v>7212992</v>
      </c>
      <c r="I10" s="2"/>
      <c r="J10" s="203"/>
      <c r="K10" s="41">
        <v>4438764</v>
      </c>
      <c r="L10" s="15"/>
      <c r="M10" s="5"/>
      <c r="N10" s="36"/>
      <c r="O10" s="290">
        <v>2774228</v>
      </c>
      <c r="P10" s="15"/>
      <c r="Q10" s="7"/>
      <c r="R10" s="36"/>
      <c r="S10" s="290">
        <v>0</v>
      </c>
      <c r="T10" s="15"/>
      <c r="U10" s="8"/>
      <c r="V10" s="38"/>
      <c r="W10" s="290">
        <v>7212992</v>
      </c>
      <c r="X10" s="41">
        <f t="shared" ref="X10:X57" si="0">+H10-W10</f>
        <v>0</v>
      </c>
    </row>
    <row r="11" spans="1:24" ht="15.75" thickBot="1" x14ac:dyDescent="0.3">
      <c r="A11" s="308"/>
      <c r="B11" s="42"/>
      <c r="C11" s="43" t="s">
        <v>9</v>
      </c>
      <c r="D11" s="44"/>
      <c r="E11" s="45"/>
      <c r="F11" s="46"/>
      <c r="G11" s="47"/>
      <c r="H11" s="48">
        <f>SUM(H9:H10)</f>
        <v>29406807</v>
      </c>
      <c r="I11" s="49"/>
      <c r="J11" s="50"/>
      <c r="K11" s="51">
        <f>SUM(K9:K10)</f>
        <v>13316293</v>
      </c>
      <c r="L11" s="50"/>
      <c r="M11" s="53"/>
      <c r="N11" s="50"/>
      <c r="O11" s="51">
        <f>SUM(O9:O10)</f>
        <v>9432371</v>
      </c>
      <c r="P11" s="52"/>
      <c r="Q11" s="54"/>
      <c r="R11" s="50"/>
      <c r="S11" s="51">
        <f>SUM(S9:S10)</f>
        <v>6658143</v>
      </c>
      <c r="T11" s="55"/>
      <c r="U11" s="8"/>
      <c r="V11" s="56"/>
      <c r="W11" s="57">
        <f>SUM(W9:W10)</f>
        <v>29406807</v>
      </c>
      <c r="X11" s="41">
        <f t="shared" si="0"/>
        <v>0</v>
      </c>
    </row>
    <row r="12" spans="1:24" ht="15.75" x14ac:dyDescent="0.25">
      <c r="A12" s="58"/>
      <c r="C12" s="39"/>
      <c r="D12" s="59"/>
      <c r="E12" s="60" t="s">
        <v>10</v>
      </c>
      <c r="F12" s="61"/>
      <c r="G12" s="62"/>
      <c r="H12" s="62"/>
      <c r="I12" s="2"/>
      <c r="J12" s="63" t="s">
        <v>10</v>
      </c>
      <c r="K12" s="62"/>
      <c r="L12" s="64"/>
      <c r="M12" s="5"/>
      <c r="N12" s="60" t="s">
        <v>10</v>
      </c>
      <c r="O12" s="37"/>
      <c r="P12" s="64"/>
      <c r="Q12" s="7"/>
      <c r="R12" s="63" t="s">
        <v>10</v>
      </c>
      <c r="S12" s="62"/>
      <c r="T12" s="64"/>
      <c r="U12" s="8"/>
      <c r="V12" s="63" t="s">
        <v>10</v>
      </c>
      <c r="W12" s="64"/>
      <c r="X12" s="41">
        <f t="shared" si="0"/>
        <v>0</v>
      </c>
    </row>
    <row r="13" spans="1:24" x14ac:dyDescent="0.25">
      <c r="A13" s="307" t="s">
        <v>11</v>
      </c>
      <c r="C13" s="39" t="s">
        <v>12</v>
      </c>
      <c r="D13" s="39"/>
      <c r="E13" s="65">
        <v>21794.37</v>
      </c>
      <c r="F13" s="66"/>
      <c r="G13" s="67">
        <v>5416.2</v>
      </c>
      <c r="H13" s="37">
        <f>G13*E13</f>
        <v>118042666.79399998</v>
      </c>
      <c r="I13" s="68"/>
      <c r="J13" s="69">
        <v>16443.849999999999</v>
      </c>
      <c r="K13" s="70">
        <f>$G13*$J13</f>
        <v>89063180.36999999</v>
      </c>
      <c r="L13" s="71">
        <f>IFERROR(J13/$V13,0)</f>
        <v>0.75449990066241879</v>
      </c>
      <c r="M13" s="72"/>
      <c r="N13" s="69">
        <v>2528.14</v>
      </c>
      <c r="O13" s="70">
        <f>$G13*$N13</f>
        <v>13692911.867999999</v>
      </c>
      <c r="P13" s="71">
        <f>IFERROR(N13/$V13,0)</f>
        <v>0.11599968248680738</v>
      </c>
      <c r="Q13" s="73"/>
      <c r="R13" s="69">
        <v>2822.38</v>
      </c>
      <c r="S13" s="70">
        <f>$G13*$R13</f>
        <v>15286574.556</v>
      </c>
      <c r="T13" s="71">
        <f t="shared" ref="T13:T18" si="1">IFERROR(S13/$W13,0)</f>
        <v>0.12950041685077388</v>
      </c>
      <c r="U13" s="74"/>
      <c r="V13" s="69">
        <f>J13+N13+R13</f>
        <v>21794.37</v>
      </c>
      <c r="W13" s="75">
        <f t="shared" ref="W13:W18" si="2">S13+O13+K13</f>
        <v>118042666.79399998</v>
      </c>
      <c r="X13" s="41">
        <f t="shared" si="0"/>
        <v>0</v>
      </c>
    </row>
    <row r="14" spans="1:24" x14ac:dyDescent="0.25">
      <c r="A14" s="307"/>
      <c r="C14" s="39" t="s">
        <v>13</v>
      </c>
      <c r="D14" s="39"/>
      <c r="E14" s="76">
        <v>542.33000000000004</v>
      </c>
      <c r="F14" s="66"/>
      <c r="G14" s="67">
        <v>7595.29</v>
      </c>
      <c r="H14" s="37">
        <f>G14*E14</f>
        <v>4119153.6257000002</v>
      </c>
      <c r="I14" s="68"/>
      <c r="J14" s="214">
        <v>339.77</v>
      </c>
      <c r="K14" s="70">
        <f>$G14*$J14</f>
        <v>2580651.6832999997</v>
      </c>
      <c r="L14" s="71">
        <f>IFERROR(J14/$V14,0)</f>
        <v>0.6265004701934247</v>
      </c>
      <c r="M14" s="72"/>
      <c r="N14" s="69">
        <v>202.56</v>
      </c>
      <c r="O14" s="70">
        <f>$G14*$N14</f>
        <v>1538501.9424000001</v>
      </c>
      <c r="P14" s="71">
        <f>IFERROR(N14/$V14,0)</f>
        <v>0.37349952980657541</v>
      </c>
      <c r="Q14" s="73"/>
      <c r="R14" s="69"/>
      <c r="S14" s="70">
        <f>$G14*$R14</f>
        <v>0</v>
      </c>
      <c r="T14" s="71">
        <f t="shared" si="1"/>
        <v>0</v>
      </c>
      <c r="U14" s="74"/>
      <c r="V14" s="69">
        <f>J14+N14+R14</f>
        <v>542.32999999999993</v>
      </c>
      <c r="W14" s="75">
        <f t="shared" si="2"/>
        <v>4119153.6256999997</v>
      </c>
      <c r="X14" s="41">
        <f t="shared" si="0"/>
        <v>0</v>
      </c>
    </row>
    <row r="15" spans="1:24" x14ac:dyDescent="0.25">
      <c r="A15" s="307"/>
      <c r="C15" s="77" t="s">
        <v>14</v>
      </c>
      <c r="D15" s="77"/>
      <c r="E15" s="76">
        <v>4519.82</v>
      </c>
      <c r="F15" s="66"/>
      <c r="G15" s="67">
        <v>7595.29</v>
      </c>
      <c r="H15" s="37">
        <f>G15*E15</f>
        <v>34329343.647799999</v>
      </c>
      <c r="I15" s="68"/>
      <c r="J15" s="69">
        <v>3147.16</v>
      </c>
      <c r="K15" s="70">
        <f>$G15*$J15</f>
        <v>23903592.876399998</v>
      </c>
      <c r="L15" s="71">
        <f>IFERROR(J15/$V15,0)</f>
        <v>0.6963020651264874</v>
      </c>
      <c r="M15" s="72"/>
      <c r="N15" s="69">
        <v>825.77</v>
      </c>
      <c r="O15" s="70">
        <f>$G15*$N15</f>
        <v>6271962.6233000001</v>
      </c>
      <c r="P15" s="71">
        <f>IFERROR(N15/$V15,0)</f>
        <v>0.18269975353000784</v>
      </c>
      <c r="Q15" s="73"/>
      <c r="R15" s="69">
        <v>546.89</v>
      </c>
      <c r="S15" s="70">
        <f>$G15*$R15</f>
        <v>4153788.1480999999</v>
      </c>
      <c r="T15" s="71">
        <f t="shared" si="1"/>
        <v>0.12099818134350483</v>
      </c>
      <c r="U15" s="74"/>
      <c r="V15" s="69">
        <f>J15+N15+R15</f>
        <v>4519.82</v>
      </c>
      <c r="W15" s="75">
        <f t="shared" si="2"/>
        <v>34329343.647799999</v>
      </c>
      <c r="X15" s="41">
        <f t="shared" si="0"/>
        <v>0</v>
      </c>
    </row>
    <row r="16" spans="1:24" x14ac:dyDescent="0.25">
      <c r="A16" s="307"/>
      <c r="C16" s="39" t="s">
        <v>15</v>
      </c>
      <c r="D16" s="39"/>
      <c r="E16" s="76">
        <v>66.41</v>
      </c>
      <c r="F16" s="66"/>
      <c r="G16" s="67">
        <v>7595.29</v>
      </c>
      <c r="H16" s="37">
        <f>G16*E16</f>
        <v>504403.20889999997</v>
      </c>
      <c r="I16" s="68"/>
      <c r="J16" s="69">
        <v>65.45</v>
      </c>
      <c r="K16" s="70">
        <f>$G16*$J16</f>
        <v>497111.73050000001</v>
      </c>
      <c r="L16" s="71">
        <f>IFERROR(J16/$V16,0)</f>
        <v>0.98554434573106464</v>
      </c>
      <c r="M16" s="72"/>
      <c r="N16" s="69">
        <v>0.33</v>
      </c>
      <c r="O16" s="70">
        <f>$G16*$N16</f>
        <v>2506.4457000000002</v>
      </c>
      <c r="P16" s="71">
        <f>IFERROR(N16/$V16,0)</f>
        <v>4.9691311549465451E-3</v>
      </c>
      <c r="Q16" s="73"/>
      <c r="R16" s="69">
        <v>0.63</v>
      </c>
      <c r="S16" s="70">
        <f>$G16*$R16</f>
        <v>4785.0326999999997</v>
      </c>
      <c r="T16" s="71">
        <f t="shared" si="1"/>
        <v>9.4865231139888567E-3</v>
      </c>
      <c r="U16" s="74"/>
      <c r="V16" s="69">
        <f>J16+N16+R16</f>
        <v>66.41</v>
      </c>
      <c r="W16" s="75">
        <f t="shared" si="2"/>
        <v>504403.20890000003</v>
      </c>
      <c r="X16" s="41">
        <f t="shared" si="0"/>
        <v>0</v>
      </c>
    </row>
    <row r="17" spans="1:24" x14ac:dyDescent="0.25">
      <c r="A17" s="307"/>
      <c r="C17" s="39" t="s">
        <v>16</v>
      </c>
      <c r="D17" s="39"/>
      <c r="E17" s="76">
        <v>166.48</v>
      </c>
      <c r="F17" s="66"/>
      <c r="G17" s="67">
        <v>4567.26</v>
      </c>
      <c r="H17" s="37">
        <f>G17*E17</f>
        <v>760357.44479999994</v>
      </c>
      <c r="I17" s="68"/>
      <c r="J17" s="69">
        <v>89.58</v>
      </c>
      <c r="K17" s="70">
        <f>$G17*$J17</f>
        <v>409135.1508</v>
      </c>
      <c r="L17" s="71">
        <f>IFERROR(J17/$V17,0)</f>
        <v>0.53808265257087939</v>
      </c>
      <c r="M17" s="72"/>
      <c r="N17" s="69">
        <v>30.8</v>
      </c>
      <c r="O17" s="70">
        <f>$G17*$N17</f>
        <v>140671.60800000001</v>
      </c>
      <c r="P17" s="71">
        <f>IFERROR(N17/$V17,0)</f>
        <v>0.18500720807304183</v>
      </c>
      <c r="Q17" s="73"/>
      <c r="R17" s="69">
        <v>46.1</v>
      </c>
      <c r="S17" s="70">
        <f>$G17*$R17</f>
        <v>210550.68600000002</v>
      </c>
      <c r="T17" s="71">
        <f t="shared" si="1"/>
        <v>0.27691013935607883</v>
      </c>
      <c r="U17" s="74"/>
      <c r="V17" s="69">
        <f>J17+N17+R17</f>
        <v>166.48</v>
      </c>
      <c r="W17" s="75">
        <f t="shared" si="2"/>
        <v>760357.44479999994</v>
      </c>
      <c r="X17" s="41">
        <f t="shared" si="0"/>
        <v>0</v>
      </c>
    </row>
    <row r="18" spans="1:24" ht="15.75" thickBot="1" x14ac:dyDescent="0.3">
      <c r="A18" s="308"/>
      <c r="B18" s="78"/>
      <c r="C18" s="312" t="s">
        <v>17</v>
      </c>
      <c r="D18" s="312"/>
      <c r="E18" s="79">
        <f>SUM(E13:E17)</f>
        <v>27089.41</v>
      </c>
      <c r="F18" s="80"/>
      <c r="G18" s="81"/>
      <c r="H18" s="82">
        <f>SUM(H13:H17)</f>
        <v>157755924.72119999</v>
      </c>
      <c r="I18" s="83"/>
      <c r="J18" s="84"/>
      <c r="K18" s="85">
        <f>SUM(K12:K17)</f>
        <v>116453671.81099999</v>
      </c>
      <c r="L18" s="86">
        <f>IFERROR(K18/W18,0)</f>
        <v>0.73818889538891841</v>
      </c>
      <c r="M18" s="87"/>
      <c r="N18" s="88"/>
      <c r="O18" s="85">
        <f>SUM(O12:O17)</f>
        <v>21646554.487399999</v>
      </c>
      <c r="P18" s="86">
        <f>O18/W18</f>
        <v>0.13721547717244645</v>
      </c>
      <c r="Q18" s="89"/>
      <c r="R18" s="88"/>
      <c r="S18" s="90">
        <f>SUM(S12:S17)</f>
        <v>19655698.422799997</v>
      </c>
      <c r="T18" s="86">
        <f t="shared" si="1"/>
        <v>0.12459562743863509</v>
      </c>
      <c r="U18" s="91"/>
      <c r="V18" s="215">
        <f>SUM(V13:V17)</f>
        <v>27089.409999999996</v>
      </c>
      <c r="W18" s="57">
        <f t="shared" si="2"/>
        <v>157755924.72119999</v>
      </c>
      <c r="X18" s="41">
        <f t="shared" si="0"/>
        <v>0</v>
      </c>
    </row>
    <row r="19" spans="1:24" x14ac:dyDescent="0.25">
      <c r="A19" s="313" t="s">
        <v>18</v>
      </c>
      <c r="B19" s="92"/>
      <c r="C19" s="93"/>
      <c r="D19" s="94"/>
      <c r="E19" s="95" t="s">
        <v>96</v>
      </c>
      <c r="F19" s="96"/>
      <c r="G19" s="97"/>
      <c r="H19" s="98"/>
      <c r="I19" s="2"/>
      <c r="J19" s="95" t="s">
        <v>96</v>
      </c>
      <c r="K19" s="97"/>
      <c r="L19" s="99"/>
      <c r="M19" s="100"/>
      <c r="N19" s="95" t="s">
        <v>96</v>
      </c>
      <c r="O19" s="97"/>
      <c r="P19" s="99"/>
      <c r="Q19" s="7"/>
      <c r="R19" s="95" t="s">
        <v>96</v>
      </c>
      <c r="S19" s="97"/>
      <c r="T19" s="101"/>
      <c r="U19" s="8"/>
      <c r="V19" s="95" t="s">
        <v>96</v>
      </c>
      <c r="W19" s="41"/>
      <c r="X19" s="41">
        <f t="shared" si="0"/>
        <v>0</v>
      </c>
    </row>
    <row r="20" spans="1:24" x14ac:dyDescent="0.25">
      <c r="A20" s="307"/>
      <c r="C20" s="77" t="s">
        <v>19</v>
      </c>
      <c r="D20" s="102"/>
      <c r="E20" s="116">
        <v>1605</v>
      </c>
      <c r="F20" s="103"/>
      <c r="G20" s="67">
        <v>1280.76</v>
      </c>
      <c r="H20" s="37">
        <f>E20*G20</f>
        <v>2055619.8</v>
      </c>
      <c r="I20" s="68"/>
      <c r="J20" s="69">
        <v>1293.8499999999999</v>
      </c>
      <c r="K20" s="70">
        <f>$G20*$J20</f>
        <v>1657111.3259999999</v>
      </c>
      <c r="L20" s="71">
        <f>IFERROR(J20/$V20,0)</f>
        <v>0.80613707165109039</v>
      </c>
      <c r="M20" s="72"/>
      <c r="N20" s="69">
        <v>187.62</v>
      </c>
      <c r="O20" s="70">
        <f>$G20*$N20</f>
        <v>240296.1912</v>
      </c>
      <c r="P20" s="71">
        <f>IFERROR(N20/$V20,0)</f>
        <v>0.11689719626168227</v>
      </c>
      <c r="Q20" s="73"/>
      <c r="R20" s="69">
        <v>123.53</v>
      </c>
      <c r="S20" s="70">
        <f t="shared" ref="S20:S22" si="3">$G20*$R20</f>
        <v>158212.28279999999</v>
      </c>
      <c r="T20" s="71">
        <f>IFERROR(S20/$W20,0)</f>
        <v>7.6965732087227415E-2</v>
      </c>
      <c r="U20" s="74"/>
      <c r="V20" s="69">
        <f>J20+N20+R20</f>
        <v>1604.9999999999998</v>
      </c>
      <c r="W20" s="75">
        <f>S20+O20+K20</f>
        <v>2055619.7999999998</v>
      </c>
      <c r="X20" s="41">
        <f t="shared" si="0"/>
        <v>0</v>
      </c>
    </row>
    <row r="21" spans="1:24" x14ac:dyDescent="0.25">
      <c r="A21" s="307"/>
      <c r="C21" s="104" t="s">
        <v>20</v>
      </c>
      <c r="D21" s="104"/>
      <c r="E21" s="76">
        <v>16575</v>
      </c>
      <c r="F21" s="103"/>
      <c r="G21" s="67">
        <f>+G20</f>
        <v>1280.76</v>
      </c>
      <c r="H21" s="37">
        <f>E21*G21</f>
        <v>21228597</v>
      </c>
      <c r="I21" s="68"/>
      <c r="J21" s="69">
        <v>13008.06</v>
      </c>
      <c r="K21" s="70">
        <f>$G21*$J21</f>
        <v>16660202.9256</v>
      </c>
      <c r="L21" s="71">
        <f>IFERROR(J21/$V21,0)</f>
        <v>0.78479999999999994</v>
      </c>
      <c r="M21" s="72"/>
      <c r="N21" s="69">
        <v>1307.77</v>
      </c>
      <c r="O21" s="70">
        <f>$G21*$N21</f>
        <v>1674939.5052</v>
      </c>
      <c r="P21" s="71">
        <f>IFERROR(N21/$V21,0)</f>
        <v>7.8900150829562588E-2</v>
      </c>
      <c r="Q21" s="73"/>
      <c r="R21" s="69">
        <v>2259.17</v>
      </c>
      <c r="S21" s="70">
        <f t="shared" si="3"/>
        <v>2893454.5692000003</v>
      </c>
      <c r="T21" s="71">
        <f>IFERROR(S21/$W21,0)</f>
        <v>0.13629984917043741</v>
      </c>
      <c r="U21" s="74"/>
      <c r="V21" s="69">
        <f>J21+N21+R21</f>
        <v>16575</v>
      </c>
      <c r="W21" s="75">
        <f>S21+O21+K21</f>
        <v>21228597</v>
      </c>
      <c r="X21" s="41">
        <f t="shared" si="0"/>
        <v>0</v>
      </c>
    </row>
    <row r="22" spans="1:24" x14ac:dyDescent="0.25">
      <c r="A22" s="307"/>
      <c r="C22" s="77" t="s">
        <v>48</v>
      </c>
      <c r="D22" s="77"/>
      <c r="E22" s="76">
        <v>23022</v>
      </c>
      <c r="F22" s="105"/>
      <c r="G22" s="67">
        <f>+G21</f>
        <v>1280.76</v>
      </c>
      <c r="H22" s="37">
        <f>E22*G22</f>
        <v>29485656.719999999</v>
      </c>
      <c r="I22" s="68"/>
      <c r="J22" s="69">
        <v>16990.240000000002</v>
      </c>
      <c r="K22" s="70">
        <f>$G22*$J22</f>
        <v>21760419.782400001</v>
      </c>
      <c r="L22" s="71">
        <f>IFERROR(J22/$V22,0)</f>
        <v>0.73800017374685078</v>
      </c>
      <c r="M22" s="72"/>
      <c r="N22" s="69">
        <v>2829.4</v>
      </c>
      <c r="O22" s="70">
        <f>$G22*$N22</f>
        <v>3623782.344</v>
      </c>
      <c r="P22" s="71">
        <f>IFERROR(N22/$V22,0)</f>
        <v>0.12289983494049168</v>
      </c>
      <c r="Q22" s="73"/>
      <c r="R22" s="69">
        <v>3202.36</v>
      </c>
      <c r="S22" s="70">
        <f t="shared" si="3"/>
        <v>4101454.5936000003</v>
      </c>
      <c r="T22" s="71">
        <f>IFERROR(S22/$W22,0)</f>
        <v>0.13909999131265746</v>
      </c>
      <c r="U22" s="74"/>
      <c r="V22" s="69">
        <f>J22+N22+R22</f>
        <v>23022.000000000004</v>
      </c>
      <c r="W22" s="75">
        <f>S22+O22+K22</f>
        <v>29485656.719999999</v>
      </c>
      <c r="X22" s="41">
        <f t="shared" si="0"/>
        <v>0</v>
      </c>
    </row>
    <row r="23" spans="1:24" ht="15.75" thickBot="1" x14ac:dyDescent="0.3">
      <c r="A23" s="308"/>
      <c r="B23" s="106"/>
      <c r="C23" s="312" t="s">
        <v>21</v>
      </c>
      <c r="D23" s="312"/>
      <c r="E23" s="107">
        <f>SUM(E20:E22)</f>
        <v>41202</v>
      </c>
      <c r="F23" s="108"/>
      <c r="G23" s="81"/>
      <c r="H23" s="109">
        <f>SUM(H20:H22)</f>
        <v>52769873.519999996</v>
      </c>
      <c r="I23" s="83"/>
      <c r="J23" s="110"/>
      <c r="K23" s="90">
        <f>SUM(K20:K22)</f>
        <v>40077734.034000002</v>
      </c>
      <c r="L23" s="86">
        <f>IFERROR(K23/W23,0)</f>
        <v>0.75948133585748268</v>
      </c>
      <c r="M23" s="87"/>
      <c r="N23" s="84"/>
      <c r="O23" s="85">
        <f>SUM(O20:O22)</f>
        <v>5539018.0404000003</v>
      </c>
      <c r="P23" s="86">
        <f>O23/W23</f>
        <v>0.10496553565360904</v>
      </c>
      <c r="Q23" s="89"/>
      <c r="R23" s="84"/>
      <c r="S23" s="85">
        <f>SUM(S20:S22)</f>
        <v>7153121.4456000011</v>
      </c>
      <c r="T23" s="86">
        <f>IFERROR(S23/$W23,0)</f>
        <v>0.13555312848890833</v>
      </c>
      <c r="U23" s="91"/>
      <c r="V23" s="84">
        <f>SUM(V20:V22)</f>
        <v>41202</v>
      </c>
      <c r="W23" s="57">
        <f>S23+O23+K23</f>
        <v>52769873.520000003</v>
      </c>
      <c r="X23" s="41">
        <f t="shared" si="0"/>
        <v>0</v>
      </c>
    </row>
    <row r="24" spans="1:24" ht="45" x14ac:dyDescent="0.25">
      <c r="A24" s="307" t="s">
        <v>22</v>
      </c>
      <c r="B24" s="111"/>
      <c r="C24" s="93"/>
      <c r="D24" s="94"/>
      <c r="E24" s="112" t="s">
        <v>97</v>
      </c>
      <c r="F24" s="113"/>
      <c r="G24" s="97"/>
      <c r="H24" s="37"/>
      <c r="I24" s="2"/>
      <c r="J24" s="112" t="s">
        <v>97</v>
      </c>
      <c r="K24" s="97"/>
      <c r="L24" s="99"/>
      <c r="M24" s="114"/>
      <c r="N24" s="112" t="s">
        <v>97</v>
      </c>
      <c r="O24" s="97"/>
      <c r="P24" s="99"/>
      <c r="Q24" s="7"/>
      <c r="R24" s="112" t="s">
        <v>97</v>
      </c>
      <c r="S24" s="97"/>
      <c r="T24" s="101"/>
      <c r="U24" s="8"/>
      <c r="V24" s="112" t="s">
        <v>97</v>
      </c>
      <c r="W24" s="115"/>
      <c r="X24" s="41">
        <f t="shared" si="0"/>
        <v>0</v>
      </c>
    </row>
    <row r="25" spans="1:24" x14ac:dyDescent="0.25">
      <c r="A25" s="307"/>
      <c r="B25" s="111"/>
      <c r="C25" s="314" t="s">
        <v>23</v>
      </c>
      <c r="D25" s="315"/>
      <c r="E25" s="116">
        <v>1885.67</v>
      </c>
      <c r="F25" s="66"/>
      <c r="G25" s="67">
        <v>3020.86</v>
      </c>
      <c r="H25" s="37">
        <f>E25*G25</f>
        <v>5696345.0762</v>
      </c>
      <c r="I25" s="68"/>
      <c r="J25" s="117">
        <v>1524.22</v>
      </c>
      <c r="K25" s="70">
        <f t="shared" ref="K25:K32" si="4">$G25*$J25</f>
        <v>4604455.2291999999</v>
      </c>
      <c r="L25" s="71">
        <f t="shared" ref="L25:L32" si="5">IFERROR(J25/$V25,0)</f>
        <v>0.80831746806174987</v>
      </c>
      <c r="M25" s="72"/>
      <c r="N25" s="118">
        <v>134.88999999999999</v>
      </c>
      <c r="O25" s="70">
        <f t="shared" ref="O25:O32" si="6">$G25*$N25</f>
        <v>407483.80539999995</v>
      </c>
      <c r="P25" s="71">
        <f t="shared" ref="P25:P32" si="7">IFERROR(N25/$V25,0)</f>
        <v>7.1534255728733009E-2</v>
      </c>
      <c r="Q25" s="73"/>
      <c r="R25" s="118">
        <v>226.56</v>
      </c>
      <c r="S25" s="70">
        <f t="shared" ref="S25:S32" si="8">$G25*$R25</f>
        <v>684406.0416</v>
      </c>
      <c r="T25" s="71">
        <f t="shared" ref="T25:T32" si="9">IFERROR(S25/$W25,0)</f>
        <v>0.12014827620951704</v>
      </c>
      <c r="U25" s="119"/>
      <c r="V25" s="120">
        <f>J25+N25+R25</f>
        <v>1885.67</v>
      </c>
      <c r="W25" s="75">
        <f>S25+O25+K25</f>
        <v>5696345.0762</v>
      </c>
      <c r="X25" s="41">
        <f t="shared" si="0"/>
        <v>0</v>
      </c>
    </row>
    <row r="26" spans="1:24" x14ac:dyDescent="0.25">
      <c r="A26" s="307"/>
      <c r="B26" s="316" t="s">
        <v>24</v>
      </c>
      <c r="C26" s="121" t="s">
        <v>25</v>
      </c>
      <c r="D26" s="122"/>
      <c r="E26" s="116">
        <v>1354</v>
      </c>
      <c r="F26" s="66"/>
      <c r="G26" s="67">
        <v>2265.64</v>
      </c>
      <c r="H26" s="37">
        <f>E26*G26</f>
        <v>3067676.56</v>
      </c>
      <c r="I26" s="68"/>
      <c r="J26" s="117">
        <v>928.89</v>
      </c>
      <c r="K26" s="70">
        <f t="shared" si="4"/>
        <v>2104530.3396000001</v>
      </c>
      <c r="L26" s="71">
        <f t="shared" si="5"/>
        <v>0.68603397341211225</v>
      </c>
      <c r="M26" s="72"/>
      <c r="N26" s="118">
        <v>181.22</v>
      </c>
      <c r="O26" s="70">
        <f t="shared" si="6"/>
        <v>410579.28079999995</v>
      </c>
      <c r="P26" s="71">
        <f t="shared" si="7"/>
        <v>0.13384047267355983</v>
      </c>
      <c r="Q26" s="73"/>
      <c r="R26" s="118">
        <v>243.89</v>
      </c>
      <c r="S26" s="70">
        <f t="shared" si="8"/>
        <v>552566.93959999993</v>
      </c>
      <c r="T26" s="71">
        <f t="shared" si="9"/>
        <v>0.18012555391432788</v>
      </c>
      <c r="U26" s="119"/>
      <c r="V26" s="120">
        <f>J26+N26+R26</f>
        <v>1354</v>
      </c>
      <c r="W26" s="75">
        <f>S26+O26+K26</f>
        <v>3067676.56</v>
      </c>
      <c r="X26" s="41">
        <f t="shared" si="0"/>
        <v>0</v>
      </c>
    </row>
    <row r="27" spans="1:24" x14ac:dyDescent="0.25">
      <c r="A27" s="307"/>
      <c r="B27" s="316"/>
      <c r="C27" s="121" t="s">
        <v>26</v>
      </c>
      <c r="D27" s="122"/>
      <c r="E27" s="116">
        <v>4.67</v>
      </c>
      <c r="F27" s="66"/>
      <c r="G27" s="67">
        <v>2265.64</v>
      </c>
      <c r="H27" s="37">
        <f t="shared" ref="H27:H32" si="10">E27*G27</f>
        <v>10580.538799999998</v>
      </c>
      <c r="I27" s="68"/>
      <c r="J27" s="117">
        <v>4.67</v>
      </c>
      <c r="K27" s="70">
        <f t="shared" si="4"/>
        <v>10580.538799999998</v>
      </c>
      <c r="L27" s="71">
        <f t="shared" si="5"/>
        <v>1</v>
      </c>
      <c r="M27" s="72"/>
      <c r="N27" s="118">
        <v>0</v>
      </c>
      <c r="O27" s="70">
        <f t="shared" si="6"/>
        <v>0</v>
      </c>
      <c r="P27" s="71">
        <f t="shared" si="7"/>
        <v>0</v>
      </c>
      <c r="Q27" s="73"/>
      <c r="R27" s="118">
        <v>0</v>
      </c>
      <c r="S27" s="70">
        <f t="shared" si="8"/>
        <v>0</v>
      </c>
      <c r="T27" s="71">
        <f t="shared" si="9"/>
        <v>0</v>
      </c>
      <c r="U27" s="119"/>
      <c r="V27" s="120">
        <f t="shared" ref="V27:V32" si="11">J27+N27+R27</f>
        <v>4.67</v>
      </c>
      <c r="W27" s="75">
        <f t="shared" ref="W27:W50" si="12">S27+O27+K27</f>
        <v>10580.538799999998</v>
      </c>
      <c r="X27" s="41">
        <f t="shared" si="0"/>
        <v>0</v>
      </c>
    </row>
    <row r="28" spans="1:24" x14ac:dyDescent="0.25">
      <c r="A28" s="307"/>
      <c r="B28" s="316"/>
      <c r="C28" s="121" t="s">
        <v>27</v>
      </c>
      <c r="D28" s="122"/>
      <c r="E28" s="116">
        <v>614.66999999999996</v>
      </c>
      <c r="F28" s="66"/>
      <c r="G28" s="67">
        <v>1510.43</v>
      </c>
      <c r="H28" s="37">
        <f t="shared" si="10"/>
        <v>928416.00809999998</v>
      </c>
      <c r="I28" s="68"/>
      <c r="J28" s="117">
        <v>296.01</v>
      </c>
      <c r="K28" s="70">
        <f t="shared" si="4"/>
        <v>447102.38429999998</v>
      </c>
      <c r="L28" s="71">
        <f t="shared" si="5"/>
        <v>0.48157547952559904</v>
      </c>
      <c r="M28" s="72"/>
      <c r="N28" s="118">
        <v>238.33</v>
      </c>
      <c r="O28" s="70">
        <f t="shared" si="6"/>
        <v>359980.78190000006</v>
      </c>
      <c r="P28" s="71">
        <f t="shared" si="7"/>
        <v>0.38773650902110074</v>
      </c>
      <c r="Q28" s="73"/>
      <c r="R28" s="118">
        <v>80.33</v>
      </c>
      <c r="S28" s="70">
        <f t="shared" si="8"/>
        <v>121332.8419</v>
      </c>
      <c r="T28" s="71">
        <f t="shared" si="9"/>
        <v>0.13068801145330014</v>
      </c>
      <c r="U28" s="119"/>
      <c r="V28" s="120">
        <f t="shared" si="11"/>
        <v>614.67000000000007</v>
      </c>
      <c r="W28" s="75">
        <f t="shared" si="12"/>
        <v>928416.00809999998</v>
      </c>
      <c r="X28" s="41">
        <f t="shared" si="0"/>
        <v>0</v>
      </c>
    </row>
    <row r="29" spans="1:24" x14ac:dyDescent="0.25">
      <c r="A29" s="307"/>
      <c r="B29" s="316"/>
      <c r="C29" s="314" t="s">
        <v>28</v>
      </c>
      <c r="D29" s="315"/>
      <c r="E29" s="116">
        <v>905.33</v>
      </c>
      <c r="F29" s="66"/>
      <c r="G29" s="67">
        <v>1510.43</v>
      </c>
      <c r="H29" s="37">
        <f t="shared" si="10"/>
        <v>1367437.5919000001</v>
      </c>
      <c r="I29" s="68"/>
      <c r="J29" s="117">
        <v>692.44</v>
      </c>
      <c r="K29" s="70">
        <f t="shared" si="4"/>
        <v>1045882.1492000001</v>
      </c>
      <c r="L29" s="71">
        <f t="shared" si="5"/>
        <v>0.76484817690786777</v>
      </c>
      <c r="M29" s="72"/>
      <c r="N29" s="118">
        <v>72.45</v>
      </c>
      <c r="O29" s="70">
        <f t="shared" si="6"/>
        <v>109430.65350000001</v>
      </c>
      <c r="P29" s="71">
        <f t="shared" si="7"/>
        <v>8.0026067842665097E-2</v>
      </c>
      <c r="Q29" s="73"/>
      <c r="R29" s="118">
        <v>140.44</v>
      </c>
      <c r="S29" s="70">
        <f t="shared" si="8"/>
        <v>212124.7892</v>
      </c>
      <c r="T29" s="71">
        <f t="shared" si="9"/>
        <v>0.15512575524946703</v>
      </c>
      <c r="U29" s="119"/>
      <c r="V29" s="120">
        <f t="shared" si="11"/>
        <v>905.33000000000015</v>
      </c>
      <c r="W29" s="75">
        <f t="shared" si="12"/>
        <v>1367437.5919000001</v>
      </c>
      <c r="X29" s="41">
        <f t="shared" si="0"/>
        <v>0</v>
      </c>
    </row>
    <row r="30" spans="1:24" x14ac:dyDescent="0.25">
      <c r="A30" s="307"/>
      <c r="B30" s="316"/>
      <c r="C30" s="121" t="s">
        <v>29</v>
      </c>
      <c r="D30" s="122"/>
      <c r="E30" s="116">
        <v>1417.33</v>
      </c>
      <c r="F30" s="66"/>
      <c r="G30" s="67">
        <v>1132.82</v>
      </c>
      <c r="H30" s="37">
        <f t="shared" si="10"/>
        <v>1605579.7705999999</v>
      </c>
      <c r="I30" s="68"/>
      <c r="J30" s="117">
        <v>940.22</v>
      </c>
      <c r="K30" s="70">
        <f t="shared" si="4"/>
        <v>1065100.0204</v>
      </c>
      <c r="L30" s="71">
        <f t="shared" si="5"/>
        <v>0.66337409071987474</v>
      </c>
      <c r="M30" s="72"/>
      <c r="N30" s="118">
        <v>183.22</v>
      </c>
      <c r="O30" s="70">
        <f t="shared" si="6"/>
        <v>207555.28039999999</v>
      </c>
      <c r="P30" s="71">
        <f t="shared" si="7"/>
        <v>0.12927123535097684</v>
      </c>
      <c r="Q30" s="73"/>
      <c r="R30" s="118">
        <v>293.89</v>
      </c>
      <c r="S30" s="70">
        <f t="shared" si="8"/>
        <v>332924.46979999996</v>
      </c>
      <c r="T30" s="71">
        <f t="shared" si="9"/>
        <v>0.20735467392914844</v>
      </c>
      <c r="U30" s="119"/>
      <c r="V30" s="120">
        <f t="shared" si="11"/>
        <v>1417.33</v>
      </c>
      <c r="W30" s="75">
        <f t="shared" si="12"/>
        <v>1605579.7705999999</v>
      </c>
      <c r="X30" s="41">
        <f t="shared" si="0"/>
        <v>0</v>
      </c>
    </row>
    <row r="31" spans="1:24" x14ac:dyDescent="0.25">
      <c r="A31" s="307"/>
      <c r="B31" s="316"/>
      <c r="C31" s="121" t="s">
        <v>30</v>
      </c>
      <c r="D31" s="122"/>
      <c r="E31" s="116">
        <v>6559.67</v>
      </c>
      <c r="F31" s="66"/>
      <c r="G31" s="67">
        <v>755.21</v>
      </c>
      <c r="H31" s="37">
        <f t="shared" si="10"/>
        <v>4953928.3807000006</v>
      </c>
      <c r="I31" s="68"/>
      <c r="J31" s="117">
        <v>5043.22</v>
      </c>
      <c r="K31" s="70">
        <f t="shared" si="4"/>
        <v>3808690.1762000006</v>
      </c>
      <c r="L31" s="71">
        <f t="shared" si="5"/>
        <v>0.7688222120929864</v>
      </c>
      <c r="M31" s="72"/>
      <c r="N31" s="118">
        <v>924.22</v>
      </c>
      <c r="O31" s="70">
        <f t="shared" si="6"/>
        <v>697980.1862</v>
      </c>
      <c r="P31" s="71">
        <f t="shared" si="7"/>
        <v>0.14089428279166483</v>
      </c>
      <c r="Q31" s="73"/>
      <c r="R31" s="118">
        <v>592.23</v>
      </c>
      <c r="S31" s="70">
        <f t="shared" si="8"/>
        <v>447258.01830000005</v>
      </c>
      <c r="T31" s="71">
        <f t="shared" si="9"/>
        <v>9.0283505115348786E-2</v>
      </c>
      <c r="U31" s="119"/>
      <c r="V31" s="120">
        <f t="shared" si="11"/>
        <v>6559.67</v>
      </c>
      <c r="W31" s="75">
        <f t="shared" si="12"/>
        <v>4953928.3807000006</v>
      </c>
      <c r="X31" s="41">
        <f t="shared" si="0"/>
        <v>0</v>
      </c>
    </row>
    <row r="32" spans="1:24" x14ac:dyDescent="0.25">
      <c r="A32" s="307"/>
      <c r="B32" s="316"/>
      <c r="C32" s="314" t="s">
        <v>31</v>
      </c>
      <c r="D32" s="315"/>
      <c r="E32" s="116">
        <v>5558.33</v>
      </c>
      <c r="F32" s="66"/>
      <c r="G32" s="67">
        <v>755.21</v>
      </c>
      <c r="H32" s="37">
        <f t="shared" si="10"/>
        <v>4197706.3992999997</v>
      </c>
      <c r="I32" s="68"/>
      <c r="J32" s="117">
        <v>4190.33</v>
      </c>
      <c r="K32" s="70">
        <f t="shared" si="4"/>
        <v>3164579.1192999999</v>
      </c>
      <c r="L32" s="71">
        <f t="shared" si="5"/>
        <v>0.75388291087430936</v>
      </c>
      <c r="M32" s="72"/>
      <c r="N32" s="118">
        <v>874.67</v>
      </c>
      <c r="O32" s="70">
        <f t="shared" si="6"/>
        <v>660559.5307</v>
      </c>
      <c r="P32" s="71">
        <f t="shared" si="7"/>
        <v>0.15736201341050279</v>
      </c>
      <c r="Q32" s="73"/>
      <c r="R32" s="118">
        <v>493.33</v>
      </c>
      <c r="S32" s="70">
        <f t="shared" si="8"/>
        <v>372567.74930000002</v>
      </c>
      <c r="T32" s="71">
        <f t="shared" si="9"/>
        <v>8.8755075715187842E-2</v>
      </c>
      <c r="U32" s="119"/>
      <c r="V32" s="120">
        <f t="shared" si="11"/>
        <v>5558.33</v>
      </c>
      <c r="W32" s="75">
        <f t="shared" si="12"/>
        <v>4197706.3992999997</v>
      </c>
      <c r="X32" s="41">
        <f t="shared" si="0"/>
        <v>0</v>
      </c>
    </row>
    <row r="33" spans="1:24" ht="15.75" thickBot="1" x14ac:dyDescent="0.3">
      <c r="A33" s="307"/>
      <c r="B33" s="317"/>
      <c r="C33" s="318" t="s">
        <v>32</v>
      </c>
      <c r="D33" s="319"/>
      <c r="E33" s="123"/>
      <c r="F33" s="124"/>
      <c r="G33" s="125"/>
      <c r="H33" s="126">
        <f>SUM(H25:H32)</f>
        <v>21827670.325599998</v>
      </c>
      <c r="I33" s="127"/>
      <c r="J33" s="128"/>
      <c r="K33" s="129">
        <f>SUM(K25:K32)</f>
        <v>16250919.957000002</v>
      </c>
      <c r="L33" s="130">
        <f>IFERROR(K33/W33,0)</f>
        <v>0.74451005144330695</v>
      </c>
      <c r="M33" s="131"/>
      <c r="N33" s="132"/>
      <c r="O33" s="129">
        <f>SUM(O25:O32)</f>
        <v>2853569.5189</v>
      </c>
      <c r="P33" s="130">
        <f>O33/W33</f>
        <v>0.13073174902927076</v>
      </c>
      <c r="Q33" s="133"/>
      <c r="R33" s="132"/>
      <c r="S33" s="129">
        <f>SUM(S25:S32)</f>
        <v>2723180.8497000001</v>
      </c>
      <c r="T33" s="130">
        <f>IFERROR(S33/$W33,0)</f>
        <v>0.12475819952742231</v>
      </c>
      <c r="U33" s="134"/>
      <c r="V33" s="124">
        <f>J33+N33+R33</f>
        <v>0</v>
      </c>
      <c r="W33" s="135">
        <f t="shared" si="12"/>
        <v>21827670.325600002</v>
      </c>
      <c r="X33" s="41">
        <f t="shared" si="0"/>
        <v>0</v>
      </c>
    </row>
    <row r="34" spans="1:24" x14ac:dyDescent="0.25">
      <c r="A34" s="307"/>
      <c r="B34" s="322" t="s">
        <v>33</v>
      </c>
      <c r="C34" s="39" t="s">
        <v>23</v>
      </c>
      <c r="D34" s="136"/>
      <c r="E34" s="116">
        <v>1199.33</v>
      </c>
      <c r="F34" s="66"/>
      <c r="G34" s="67">
        <v>1142.95</v>
      </c>
      <c r="H34" s="37">
        <f>E34*G34</f>
        <v>1370774.2235000001</v>
      </c>
      <c r="I34" s="68"/>
      <c r="J34" s="117">
        <v>966.45</v>
      </c>
      <c r="K34" s="70">
        <f>$G34*$J34</f>
        <v>1104604.0275000001</v>
      </c>
      <c r="L34" s="71">
        <f t="shared" ref="L34:L41" si="13">IFERROR(J34/$V34,0)</f>
        <v>0.80582491891305974</v>
      </c>
      <c r="M34" s="72"/>
      <c r="N34" s="118">
        <v>56.44</v>
      </c>
      <c r="O34" s="70">
        <f>$G34*$N34</f>
        <v>64508.097999999998</v>
      </c>
      <c r="P34" s="71">
        <f t="shared" ref="P34:P41" si="14">IFERROR(N34/$V34,0)</f>
        <v>4.7059608281290376E-2</v>
      </c>
      <c r="Q34" s="73"/>
      <c r="R34" s="118">
        <v>176.44</v>
      </c>
      <c r="S34" s="70">
        <f t="shared" ref="S34:S50" si="15">$G34*$R34</f>
        <v>201662.098</v>
      </c>
      <c r="T34" s="71">
        <f t="shared" ref="T34:T41" si="16">IFERROR(S34/$W34,0)</f>
        <v>0.14711547280564982</v>
      </c>
      <c r="U34" s="119"/>
      <c r="V34" s="120">
        <f>J34+N34+R34</f>
        <v>1199.3300000000002</v>
      </c>
      <c r="W34" s="75">
        <f t="shared" si="12"/>
        <v>1370774.2235000001</v>
      </c>
      <c r="X34" s="41">
        <f t="shared" si="0"/>
        <v>0</v>
      </c>
    </row>
    <row r="35" spans="1:24" x14ac:dyDescent="0.25">
      <c r="A35" s="307"/>
      <c r="B35" s="323"/>
      <c r="C35" s="325" t="s">
        <v>25</v>
      </c>
      <c r="D35" s="326"/>
      <c r="E35" s="116">
        <v>885.33</v>
      </c>
      <c r="F35" s="66"/>
      <c r="G35" s="67">
        <v>857.22</v>
      </c>
      <c r="H35" s="37">
        <f t="shared" ref="H35:H41" si="17">E35*G35</f>
        <v>758922.58260000008</v>
      </c>
      <c r="I35" s="68"/>
      <c r="J35" s="117">
        <v>630.78</v>
      </c>
      <c r="K35" s="70">
        <f t="shared" ref="K35:K41" si="18">$G35*$J35</f>
        <v>540717.23159999994</v>
      </c>
      <c r="L35" s="71">
        <f t="shared" si="13"/>
        <v>0.71248009216902164</v>
      </c>
      <c r="M35" s="72"/>
      <c r="N35" s="118">
        <v>77.44</v>
      </c>
      <c r="O35" s="70">
        <f>$G35*$N35</f>
        <v>66383.116800000003</v>
      </c>
      <c r="P35" s="71">
        <f t="shared" si="14"/>
        <v>8.7470208848677886E-2</v>
      </c>
      <c r="Q35" s="73"/>
      <c r="R35" s="118">
        <v>177.11</v>
      </c>
      <c r="S35" s="70">
        <f t="shared" si="15"/>
        <v>151822.23420000001</v>
      </c>
      <c r="T35" s="71">
        <f t="shared" si="16"/>
        <v>0.20004969898230041</v>
      </c>
      <c r="U35" s="119"/>
      <c r="V35" s="120">
        <f t="shared" ref="V35:V40" si="19">J35+N35+R35</f>
        <v>885.33</v>
      </c>
      <c r="W35" s="75">
        <f t="shared" si="12"/>
        <v>758922.58259999997</v>
      </c>
      <c r="X35" s="41">
        <f t="shared" si="0"/>
        <v>0</v>
      </c>
    </row>
    <row r="36" spans="1:24" x14ac:dyDescent="0.25">
      <c r="A36" s="307"/>
      <c r="B36" s="323"/>
      <c r="C36" s="121" t="s">
        <v>26</v>
      </c>
      <c r="D36" s="122"/>
      <c r="E36" s="116">
        <v>3</v>
      </c>
      <c r="F36" s="66"/>
      <c r="G36" s="67">
        <v>857.22</v>
      </c>
      <c r="H36" s="37">
        <f t="shared" si="17"/>
        <v>2571.66</v>
      </c>
      <c r="I36" s="68"/>
      <c r="J36" s="117">
        <v>3</v>
      </c>
      <c r="K36" s="70">
        <f>$G36*$J36</f>
        <v>2571.66</v>
      </c>
      <c r="L36" s="71">
        <f t="shared" si="13"/>
        <v>1</v>
      </c>
      <c r="M36" s="72"/>
      <c r="N36" s="118">
        <v>0</v>
      </c>
      <c r="O36" s="70">
        <f t="shared" ref="O36:O41" si="20">$G36*$N36</f>
        <v>0</v>
      </c>
      <c r="P36" s="71">
        <f t="shared" si="14"/>
        <v>0</v>
      </c>
      <c r="Q36" s="73"/>
      <c r="R36" s="118">
        <v>0</v>
      </c>
      <c r="S36" s="70">
        <f t="shared" si="15"/>
        <v>0</v>
      </c>
      <c r="T36" s="71">
        <f t="shared" si="16"/>
        <v>0</v>
      </c>
      <c r="U36" s="119"/>
      <c r="V36" s="120">
        <f t="shared" si="19"/>
        <v>3</v>
      </c>
      <c r="W36" s="75">
        <f t="shared" si="12"/>
        <v>2571.66</v>
      </c>
      <c r="X36" s="41">
        <f t="shared" si="0"/>
        <v>0</v>
      </c>
    </row>
    <row r="37" spans="1:24" x14ac:dyDescent="0.25">
      <c r="A37" s="307"/>
      <c r="B37" s="323"/>
      <c r="C37" s="121" t="s">
        <v>27</v>
      </c>
      <c r="D37" s="122"/>
      <c r="E37" s="116">
        <v>322.33</v>
      </c>
      <c r="F37" s="66"/>
      <c r="G37" s="67">
        <v>571.48</v>
      </c>
      <c r="H37" s="37">
        <f t="shared" si="17"/>
        <v>184205.14840000001</v>
      </c>
      <c r="I37" s="68"/>
      <c r="J37" s="117">
        <v>150.33000000000001</v>
      </c>
      <c r="K37" s="70">
        <f>$G37*$J37</f>
        <v>85910.588400000008</v>
      </c>
      <c r="L37" s="71">
        <f t="shared" si="13"/>
        <v>0.46638538144138003</v>
      </c>
      <c r="M37" s="72"/>
      <c r="N37" s="118">
        <v>107.67</v>
      </c>
      <c r="O37" s="70">
        <f t="shared" si="20"/>
        <v>61531.251600000003</v>
      </c>
      <c r="P37" s="71">
        <f t="shared" si="14"/>
        <v>0.33403654639655012</v>
      </c>
      <c r="Q37" s="73"/>
      <c r="R37" s="118">
        <v>64.33</v>
      </c>
      <c r="S37" s="70">
        <f t="shared" si="15"/>
        <v>36763.308400000002</v>
      </c>
      <c r="T37" s="71">
        <f t="shared" si="16"/>
        <v>0.19957807216206994</v>
      </c>
      <c r="U37" s="119"/>
      <c r="V37" s="120">
        <f t="shared" si="19"/>
        <v>322.33</v>
      </c>
      <c r="W37" s="75">
        <f t="shared" si="12"/>
        <v>184205.14840000001</v>
      </c>
      <c r="X37" s="41">
        <f t="shared" si="0"/>
        <v>0</v>
      </c>
    </row>
    <row r="38" spans="1:24" x14ac:dyDescent="0.25">
      <c r="A38" s="307"/>
      <c r="B38" s="323"/>
      <c r="C38" s="314" t="s">
        <v>28</v>
      </c>
      <c r="D38" s="315"/>
      <c r="E38" s="116">
        <v>560</v>
      </c>
      <c r="F38" s="66"/>
      <c r="G38" s="67">
        <v>571.48</v>
      </c>
      <c r="H38" s="37">
        <f t="shared" si="17"/>
        <v>320028.79999999999</v>
      </c>
      <c r="I38" s="68"/>
      <c r="J38" s="117">
        <v>424.44</v>
      </c>
      <c r="K38" s="70">
        <f t="shared" si="18"/>
        <v>242558.9712</v>
      </c>
      <c r="L38" s="71">
        <f t="shared" si="13"/>
        <v>0.7579285714285714</v>
      </c>
      <c r="M38" s="72"/>
      <c r="N38" s="118">
        <v>30.78</v>
      </c>
      <c r="O38" s="70">
        <f t="shared" si="20"/>
        <v>17590.154399999999</v>
      </c>
      <c r="P38" s="71">
        <f t="shared" si="14"/>
        <v>5.4964285714285716E-2</v>
      </c>
      <c r="Q38" s="73"/>
      <c r="R38" s="118">
        <v>104.78</v>
      </c>
      <c r="S38" s="70">
        <f t="shared" si="15"/>
        <v>59879.674400000004</v>
      </c>
      <c r="T38" s="71">
        <f t="shared" si="16"/>
        <v>0.18710714285714289</v>
      </c>
      <c r="U38" s="119"/>
      <c r="V38" s="120">
        <f t="shared" si="19"/>
        <v>560</v>
      </c>
      <c r="W38" s="75">
        <f t="shared" si="12"/>
        <v>320028.79999999999</v>
      </c>
      <c r="X38" s="41">
        <f t="shared" si="0"/>
        <v>0</v>
      </c>
    </row>
    <row r="39" spans="1:24" x14ac:dyDescent="0.25">
      <c r="A39" s="307"/>
      <c r="B39" s="323"/>
      <c r="C39" s="121" t="s">
        <v>29</v>
      </c>
      <c r="D39" s="122"/>
      <c r="E39" s="116">
        <v>641.66999999999996</v>
      </c>
      <c r="F39" s="66"/>
      <c r="G39" s="67">
        <v>428.61</v>
      </c>
      <c r="H39" s="37">
        <f t="shared" si="17"/>
        <v>275026.17869999999</v>
      </c>
      <c r="I39" s="68"/>
      <c r="J39" s="117">
        <v>469.55</v>
      </c>
      <c r="K39" s="70">
        <f t="shared" si="18"/>
        <v>201253.82550000001</v>
      </c>
      <c r="L39" s="71">
        <f t="shared" si="13"/>
        <v>0.73176243240294858</v>
      </c>
      <c r="M39" s="72"/>
      <c r="N39" s="118">
        <v>39.9</v>
      </c>
      <c r="O39" s="70">
        <f t="shared" si="20"/>
        <v>17101.539000000001</v>
      </c>
      <c r="P39" s="71">
        <f t="shared" si="14"/>
        <v>6.2181495161064103E-2</v>
      </c>
      <c r="Q39" s="73"/>
      <c r="R39" s="118">
        <v>132.22</v>
      </c>
      <c r="S39" s="70">
        <f t="shared" si="15"/>
        <v>56670.814200000001</v>
      </c>
      <c r="T39" s="71">
        <f t="shared" si="16"/>
        <v>0.20605607243598736</v>
      </c>
      <c r="U39" s="119"/>
      <c r="V39" s="120">
        <f t="shared" si="19"/>
        <v>641.66999999999996</v>
      </c>
      <c r="W39" s="75">
        <f t="shared" si="12"/>
        <v>275026.17869999999</v>
      </c>
      <c r="X39" s="41">
        <f t="shared" si="0"/>
        <v>0</v>
      </c>
    </row>
    <row r="40" spans="1:24" x14ac:dyDescent="0.25">
      <c r="A40" s="307"/>
      <c r="B40" s="323"/>
      <c r="C40" s="121" t="s">
        <v>30</v>
      </c>
      <c r="D40" s="122"/>
      <c r="E40" s="116">
        <v>3664</v>
      </c>
      <c r="F40" s="66"/>
      <c r="G40" s="67">
        <v>285.74</v>
      </c>
      <c r="H40" s="37">
        <f t="shared" si="17"/>
        <v>1046951.36</v>
      </c>
      <c r="I40" s="68"/>
      <c r="J40" s="117">
        <v>2792.67</v>
      </c>
      <c r="K40" s="70">
        <f t="shared" si="18"/>
        <v>797977.52580000006</v>
      </c>
      <c r="L40" s="71">
        <f t="shared" si="13"/>
        <v>0.76219159388646285</v>
      </c>
      <c r="M40" s="72"/>
      <c r="N40" s="118">
        <v>428</v>
      </c>
      <c r="O40" s="70">
        <f t="shared" si="20"/>
        <v>122296.72</v>
      </c>
      <c r="P40" s="71">
        <f t="shared" si="14"/>
        <v>0.1168122270742358</v>
      </c>
      <c r="Q40" s="73"/>
      <c r="R40" s="118">
        <v>443.33</v>
      </c>
      <c r="S40" s="70">
        <f t="shared" si="15"/>
        <v>126677.1142</v>
      </c>
      <c r="T40" s="71">
        <f t="shared" si="16"/>
        <v>0.12099617903930129</v>
      </c>
      <c r="U40" s="119"/>
      <c r="V40" s="137">
        <f t="shared" si="19"/>
        <v>3664</v>
      </c>
      <c r="W40" s="75">
        <f t="shared" si="12"/>
        <v>1046951.3600000001</v>
      </c>
      <c r="X40" s="41">
        <f t="shared" si="0"/>
        <v>0</v>
      </c>
    </row>
    <row r="41" spans="1:24" x14ac:dyDescent="0.25">
      <c r="A41" s="307"/>
      <c r="B41" s="323"/>
      <c r="C41" s="314" t="s">
        <v>31</v>
      </c>
      <c r="D41" s="315"/>
      <c r="E41" s="116">
        <v>2665</v>
      </c>
      <c r="F41" s="66"/>
      <c r="G41" s="67">
        <v>285.74</v>
      </c>
      <c r="H41" s="37">
        <f t="shared" si="17"/>
        <v>761497.1</v>
      </c>
      <c r="I41" s="68"/>
      <c r="J41" s="117">
        <v>2105.56</v>
      </c>
      <c r="K41" s="70">
        <f t="shared" si="18"/>
        <v>601642.71440000006</v>
      </c>
      <c r="L41" s="71">
        <f t="shared" si="13"/>
        <v>0.79007879924953095</v>
      </c>
      <c r="M41" s="72"/>
      <c r="N41" s="118">
        <v>256.22000000000003</v>
      </c>
      <c r="O41" s="70">
        <f t="shared" si="20"/>
        <v>73212.302800000005</v>
      </c>
      <c r="P41" s="71">
        <f t="shared" si="14"/>
        <v>9.6142589118198882E-2</v>
      </c>
      <c r="Q41" s="73"/>
      <c r="R41" s="118">
        <v>303.22000000000003</v>
      </c>
      <c r="S41" s="70">
        <f t="shared" si="15"/>
        <v>86642.082800000004</v>
      </c>
      <c r="T41" s="71">
        <f t="shared" si="16"/>
        <v>0.11377861163227015</v>
      </c>
      <c r="U41" s="119"/>
      <c r="V41" s="120">
        <f>J41+N41+R41</f>
        <v>2665</v>
      </c>
      <c r="W41" s="138">
        <f t="shared" si="12"/>
        <v>761497.10000000009</v>
      </c>
      <c r="X41" s="41">
        <f t="shared" si="0"/>
        <v>0</v>
      </c>
    </row>
    <row r="42" spans="1:24" ht="15.75" thickBot="1" x14ac:dyDescent="0.3">
      <c r="A42" s="307"/>
      <c r="B42" s="324"/>
      <c r="C42" s="318" t="s">
        <v>32</v>
      </c>
      <c r="D42" s="327"/>
      <c r="E42" s="123"/>
      <c r="F42" s="124"/>
      <c r="G42" s="125"/>
      <c r="H42" s="126">
        <f>SUM(H34:H41)</f>
        <v>4719977.0532</v>
      </c>
      <c r="I42" s="127"/>
      <c r="J42" s="139"/>
      <c r="K42" s="129">
        <f>SUM(K34:K41)</f>
        <v>3577236.5443999995</v>
      </c>
      <c r="L42" s="130">
        <f>IFERROR(K42/W42,0)</f>
        <v>0.75789278296909168</v>
      </c>
      <c r="M42" s="131"/>
      <c r="N42" s="139"/>
      <c r="O42" s="129">
        <f>SUM(O34:O41)</f>
        <v>422623.1826</v>
      </c>
      <c r="P42" s="130">
        <f>O42/W42</f>
        <v>8.9539245177786303E-2</v>
      </c>
      <c r="Q42" s="133"/>
      <c r="R42" s="140"/>
      <c r="S42" s="129">
        <f>SUM(S34:S41)</f>
        <v>720117.32620000001</v>
      </c>
      <c r="T42" s="130">
        <f>IFERROR(S42/$W42,0)</f>
        <v>0.15256797185312218</v>
      </c>
      <c r="U42" s="134"/>
      <c r="V42" s="124">
        <f>J42+N42+R42</f>
        <v>0</v>
      </c>
      <c r="W42" s="135">
        <f t="shared" si="12"/>
        <v>4719977.053199999</v>
      </c>
      <c r="X42" s="41">
        <f t="shared" si="0"/>
        <v>0</v>
      </c>
    </row>
    <row r="43" spans="1:24" x14ac:dyDescent="0.25">
      <c r="A43" s="307"/>
      <c r="B43" s="322" t="s">
        <v>34</v>
      </c>
      <c r="C43" s="39" t="s">
        <v>23</v>
      </c>
      <c r="D43" s="136"/>
      <c r="E43" s="116">
        <v>1495</v>
      </c>
      <c r="F43" s="66"/>
      <c r="G43" s="67">
        <v>761.97</v>
      </c>
      <c r="H43" s="37">
        <f>E43*G43</f>
        <v>1139145.1500000001</v>
      </c>
      <c r="I43" s="68"/>
      <c r="J43" s="117">
        <v>1193.45</v>
      </c>
      <c r="K43" s="70">
        <f>$G43*$J43</f>
        <v>909373.0965000001</v>
      </c>
      <c r="L43" s="71">
        <f t="shared" ref="L43:L50" si="21">IFERROR(J43/$V43,0)</f>
        <v>0.79829431438127096</v>
      </c>
      <c r="M43" s="72"/>
      <c r="N43" s="118">
        <v>97.11</v>
      </c>
      <c r="O43" s="70">
        <f t="shared" ref="O43:O50" si="22">$G43*$N43</f>
        <v>73994.906700000007</v>
      </c>
      <c r="P43" s="71">
        <f t="shared" ref="P43:P50" si="23">IFERROR(N43/$V43,0)</f>
        <v>6.4956521739130441E-2</v>
      </c>
      <c r="Q43" s="73"/>
      <c r="R43" s="118">
        <v>204.44</v>
      </c>
      <c r="S43" s="70">
        <f t="shared" si="15"/>
        <v>155777.14680000002</v>
      </c>
      <c r="T43" s="71">
        <f t="shared" ref="T43:T50" si="24">IFERROR(S43/$W43,0)</f>
        <v>0.13674916387959865</v>
      </c>
      <c r="U43" s="119"/>
      <c r="V43" s="120">
        <f>J43+N43+R43</f>
        <v>1495</v>
      </c>
      <c r="W43" s="75">
        <f t="shared" si="12"/>
        <v>1139145.1500000001</v>
      </c>
      <c r="X43" s="41">
        <f t="shared" si="0"/>
        <v>0</v>
      </c>
    </row>
    <row r="44" spans="1:24" x14ac:dyDescent="0.25">
      <c r="A44" s="307"/>
      <c r="B44" s="323"/>
      <c r="C44" s="325" t="s">
        <v>25</v>
      </c>
      <c r="D44" s="326"/>
      <c r="E44" s="116">
        <v>1121.67</v>
      </c>
      <c r="F44" s="66"/>
      <c r="G44" s="67">
        <v>571.48</v>
      </c>
      <c r="H44" s="37">
        <f t="shared" ref="H44:H50" si="25">E44*G44</f>
        <v>641011.97160000005</v>
      </c>
      <c r="I44" s="68"/>
      <c r="J44" s="141">
        <v>794</v>
      </c>
      <c r="K44" s="70">
        <f t="shared" ref="K44:K50" si="26">$G44*$J44</f>
        <v>453755.12</v>
      </c>
      <c r="L44" s="71">
        <f t="shared" si="21"/>
        <v>0.70787308210079614</v>
      </c>
      <c r="M44" s="72"/>
      <c r="N44" s="118">
        <v>125.67</v>
      </c>
      <c r="O44" s="70">
        <f t="shared" si="22"/>
        <v>71817.891600000003</v>
      </c>
      <c r="P44" s="71">
        <f t="shared" si="23"/>
        <v>0.11203830003476958</v>
      </c>
      <c r="Q44" s="73"/>
      <c r="R44" s="118">
        <v>202</v>
      </c>
      <c r="S44" s="70">
        <f t="shared" si="15"/>
        <v>115438.96</v>
      </c>
      <c r="T44" s="71">
        <f t="shared" si="24"/>
        <v>0.18008861786443428</v>
      </c>
      <c r="U44" s="119"/>
      <c r="V44" s="120">
        <f t="shared" ref="V44:V50" si="27">J44+N44+R44</f>
        <v>1121.67</v>
      </c>
      <c r="W44" s="75">
        <f t="shared" si="12"/>
        <v>641011.97160000005</v>
      </c>
      <c r="X44" s="41">
        <f t="shared" si="0"/>
        <v>0</v>
      </c>
    </row>
    <row r="45" spans="1:24" x14ac:dyDescent="0.25">
      <c r="A45" s="307"/>
      <c r="B45" s="323"/>
      <c r="C45" s="121" t="s">
        <v>26</v>
      </c>
      <c r="D45" s="122"/>
      <c r="E45" s="116">
        <v>3.67</v>
      </c>
      <c r="F45" s="66"/>
      <c r="G45" s="67">
        <v>571.48</v>
      </c>
      <c r="H45" s="37">
        <f t="shared" si="25"/>
        <v>2097.3316</v>
      </c>
      <c r="I45" s="68"/>
      <c r="J45" s="117">
        <v>3.67</v>
      </c>
      <c r="K45" s="70">
        <f t="shared" si="26"/>
        <v>2097.3316</v>
      </c>
      <c r="L45" s="71">
        <f t="shared" si="21"/>
        <v>1</v>
      </c>
      <c r="M45" s="142"/>
      <c r="N45" s="117">
        <v>0</v>
      </c>
      <c r="O45" s="70">
        <f t="shared" si="22"/>
        <v>0</v>
      </c>
      <c r="P45" s="71">
        <f t="shared" si="23"/>
        <v>0</v>
      </c>
      <c r="Q45" s="73"/>
      <c r="R45" s="118">
        <v>0</v>
      </c>
      <c r="S45" s="70">
        <f t="shared" si="15"/>
        <v>0</v>
      </c>
      <c r="T45" s="71">
        <f t="shared" si="24"/>
        <v>0</v>
      </c>
      <c r="U45" s="119"/>
      <c r="V45" s="120">
        <f t="shared" si="27"/>
        <v>3.67</v>
      </c>
      <c r="W45" s="75">
        <f t="shared" si="12"/>
        <v>2097.3316</v>
      </c>
      <c r="X45" s="41">
        <f t="shared" si="0"/>
        <v>0</v>
      </c>
    </row>
    <row r="46" spans="1:24" x14ac:dyDescent="0.25">
      <c r="A46" s="307"/>
      <c r="B46" s="323"/>
      <c r="C46" s="121" t="s">
        <v>27</v>
      </c>
      <c r="D46" s="122"/>
      <c r="E46" s="116">
        <v>440.089</v>
      </c>
      <c r="F46" s="66"/>
      <c r="G46" s="67">
        <v>380.98</v>
      </c>
      <c r="H46" s="37">
        <f t="shared" si="25"/>
        <v>167665.10722000001</v>
      </c>
      <c r="I46" s="68"/>
      <c r="J46" s="117">
        <v>222</v>
      </c>
      <c r="K46" s="70">
        <f t="shared" si="26"/>
        <v>84577.56</v>
      </c>
      <c r="L46" s="71">
        <f t="shared" si="21"/>
        <v>0.50444341939925785</v>
      </c>
      <c r="M46" s="142"/>
      <c r="N46" s="117">
        <v>146.089</v>
      </c>
      <c r="O46" s="70">
        <f t="shared" si="22"/>
        <v>55656.987220000003</v>
      </c>
      <c r="P46" s="71">
        <f t="shared" si="23"/>
        <v>0.33195330944422607</v>
      </c>
      <c r="Q46" s="73"/>
      <c r="R46" s="118">
        <v>72</v>
      </c>
      <c r="S46" s="70">
        <f t="shared" si="15"/>
        <v>27430.560000000001</v>
      </c>
      <c r="T46" s="71">
        <f t="shared" si="24"/>
        <v>0.16360327115651607</v>
      </c>
      <c r="U46" s="119"/>
      <c r="V46" s="120">
        <f t="shared" si="27"/>
        <v>440.089</v>
      </c>
      <c r="W46" s="75">
        <f t="shared" si="12"/>
        <v>167665.10722000001</v>
      </c>
      <c r="X46" s="211">
        <f t="shared" si="0"/>
        <v>0</v>
      </c>
    </row>
    <row r="47" spans="1:24" x14ac:dyDescent="0.25">
      <c r="A47" s="307"/>
      <c r="B47" s="323"/>
      <c r="C47" s="314" t="s">
        <v>28</v>
      </c>
      <c r="D47" s="315"/>
      <c r="E47" s="116">
        <v>685</v>
      </c>
      <c r="F47" s="66"/>
      <c r="G47" s="67">
        <v>380.98</v>
      </c>
      <c r="H47" s="37">
        <f t="shared" si="25"/>
        <v>260971.30000000002</v>
      </c>
      <c r="I47" s="68"/>
      <c r="J47" s="117">
        <v>519.55999999999995</v>
      </c>
      <c r="K47" s="70">
        <f t="shared" si="26"/>
        <v>197941.9688</v>
      </c>
      <c r="L47" s="71">
        <f t="shared" si="21"/>
        <v>0.75848175182481758</v>
      </c>
      <c r="M47" s="142"/>
      <c r="N47" s="117">
        <v>43.89</v>
      </c>
      <c r="O47" s="70">
        <f t="shared" si="22"/>
        <v>16721.212200000002</v>
      </c>
      <c r="P47" s="71">
        <f t="shared" si="23"/>
        <v>6.4072992700729942E-2</v>
      </c>
      <c r="Q47" s="73"/>
      <c r="R47" s="118">
        <v>121.55</v>
      </c>
      <c r="S47" s="70">
        <f t="shared" si="15"/>
        <v>46308.118999999999</v>
      </c>
      <c r="T47" s="71">
        <f t="shared" si="24"/>
        <v>0.17744525547445256</v>
      </c>
      <c r="U47" s="119"/>
      <c r="V47" s="120">
        <f t="shared" si="27"/>
        <v>684.99999999999989</v>
      </c>
      <c r="W47" s="75">
        <f t="shared" si="12"/>
        <v>260971.3</v>
      </c>
      <c r="X47" s="41">
        <f t="shared" si="0"/>
        <v>0</v>
      </c>
    </row>
    <row r="48" spans="1:24" x14ac:dyDescent="0.25">
      <c r="A48" s="307"/>
      <c r="B48" s="323"/>
      <c r="C48" s="121" t="s">
        <v>29</v>
      </c>
      <c r="D48" s="122"/>
      <c r="E48" s="116">
        <v>800.33</v>
      </c>
      <c r="F48" s="66"/>
      <c r="G48" s="67">
        <v>285.74</v>
      </c>
      <c r="H48" s="37">
        <f t="shared" si="25"/>
        <v>228686.29420000003</v>
      </c>
      <c r="I48" s="68"/>
      <c r="J48" s="117">
        <v>573.33000000000004</v>
      </c>
      <c r="K48" s="70">
        <f t="shared" si="26"/>
        <v>163823.31420000002</v>
      </c>
      <c r="L48" s="71">
        <f t="shared" si="21"/>
        <v>0.71636699861307207</v>
      </c>
      <c r="M48" s="142"/>
      <c r="N48" s="117">
        <v>72.66</v>
      </c>
      <c r="O48" s="70">
        <f t="shared" si="22"/>
        <v>20761.868399999999</v>
      </c>
      <c r="P48" s="71">
        <f t="shared" si="23"/>
        <v>9.0787550135569065E-2</v>
      </c>
      <c r="Q48" s="73"/>
      <c r="R48" s="118">
        <v>154.34</v>
      </c>
      <c r="S48" s="70">
        <f t="shared" si="15"/>
        <v>44101.111600000004</v>
      </c>
      <c r="T48" s="71">
        <f t="shared" si="24"/>
        <v>0.1928454512513588</v>
      </c>
      <c r="U48" s="119"/>
      <c r="V48" s="120">
        <f t="shared" si="27"/>
        <v>800.33</v>
      </c>
      <c r="W48" s="75">
        <f t="shared" si="12"/>
        <v>228686.29420000003</v>
      </c>
      <c r="X48" s="41">
        <f t="shared" si="0"/>
        <v>0</v>
      </c>
    </row>
    <row r="49" spans="1:25" x14ac:dyDescent="0.25">
      <c r="A49" s="307"/>
      <c r="B49" s="323"/>
      <c r="C49" s="121" t="s">
        <v>30</v>
      </c>
      <c r="D49" s="122"/>
      <c r="E49" s="116">
        <v>4589.67</v>
      </c>
      <c r="F49" s="66"/>
      <c r="G49" s="67">
        <v>190.49</v>
      </c>
      <c r="H49" s="37">
        <f t="shared" si="25"/>
        <v>874286.23830000008</v>
      </c>
      <c r="I49" s="68"/>
      <c r="J49" s="117">
        <v>3485.78</v>
      </c>
      <c r="K49" s="70">
        <f t="shared" si="26"/>
        <v>664006.23220000009</v>
      </c>
      <c r="L49" s="71">
        <f t="shared" si="21"/>
        <v>0.75948379731004634</v>
      </c>
      <c r="M49" s="72"/>
      <c r="N49" s="118">
        <v>582.11</v>
      </c>
      <c r="O49" s="70">
        <f t="shared" si="22"/>
        <v>110886.1339</v>
      </c>
      <c r="P49" s="71">
        <f t="shared" si="23"/>
        <v>0.12683046929299929</v>
      </c>
      <c r="Q49" s="73"/>
      <c r="R49" s="118">
        <v>521.78</v>
      </c>
      <c r="S49" s="70">
        <f t="shared" si="15"/>
        <v>99393.872199999998</v>
      </c>
      <c r="T49" s="71">
        <f t="shared" si="24"/>
        <v>0.11368573339695445</v>
      </c>
      <c r="U49" s="119"/>
      <c r="V49" s="120">
        <f t="shared" si="27"/>
        <v>4589.67</v>
      </c>
      <c r="W49" s="75">
        <f t="shared" si="12"/>
        <v>874286.23830000008</v>
      </c>
      <c r="X49" s="41">
        <f t="shared" si="0"/>
        <v>0</v>
      </c>
    </row>
    <row r="50" spans="1:25" x14ac:dyDescent="0.25">
      <c r="A50" s="307"/>
      <c r="B50" s="323"/>
      <c r="C50" s="314" t="s">
        <v>31</v>
      </c>
      <c r="D50" s="315"/>
      <c r="E50" s="116">
        <v>3717</v>
      </c>
      <c r="F50" s="66"/>
      <c r="G50" s="67">
        <v>190.49</v>
      </c>
      <c r="H50" s="37">
        <f t="shared" si="25"/>
        <v>708051.33000000007</v>
      </c>
      <c r="I50" s="68"/>
      <c r="J50" s="117">
        <v>2883.67</v>
      </c>
      <c r="K50" s="70">
        <f t="shared" si="26"/>
        <v>549310.29830000002</v>
      </c>
      <c r="L50" s="71">
        <f t="shared" si="21"/>
        <v>0.77580575733118107</v>
      </c>
      <c r="M50" s="72"/>
      <c r="N50" s="118">
        <v>442.33</v>
      </c>
      <c r="O50" s="70">
        <f t="shared" si="22"/>
        <v>84259.441699999996</v>
      </c>
      <c r="P50" s="71">
        <f t="shared" si="23"/>
        <v>0.11900188323917137</v>
      </c>
      <c r="Q50" s="73"/>
      <c r="R50" s="118">
        <v>391</v>
      </c>
      <c r="S50" s="70">
        <f t="shared" si="15"/>
        <v>74481.59</v>
      </c>
      <c r="T50" s="71">
        <f t="shared" si="24"/>
        <v>0.10519235942964755</v>
      </c>
      <c r="U50" s="119"/>
      <c r="V50" s="120">
        <f t="shared" si="27"/>
        <v>3717</v>
      </c>
      <c r="W50" s="75">
        <f t="shared" si="12"/>
        <v>708051.33000000007</v>
      </c>
      <c r="X50" s="41">
        <f t="shared" si="0"/>
        <v>0</v>
      </c>
    </row>
    <row r="51" spans="1:25" ht="15.75" thickBot="1" x14ac:dyDescent="0.3">
      <c r="A51" s="307"/>
      <c r="B51" s="324"/>
      <c r="C51" s="328" t="s">
        <v>32</v>
      </c>
      <c r="D51" s="329"/>
      <c r="E51" s="123"/>
      <c r="F51" s="143"/>
      <c r="G51" s="125"/>
      <c r="H51" s="126">
        <f>SUM(H43:H50)</f>
        <v>4021914.7229199996</v>
      </c>
      <c r="I51" s="127"/>
      <c r="J51" s="139"/>
      <c r="K51" s="129">
        <f>SUM(K43:K50)</f>
        <v>3024884.9216</v>
      </c>
      <c r="L51" s="130">
        <f>IFERROR(K51/W51,0)</f>
        <v>0.75210071072910911</v>
      </c>
      <c r="M51" s="131"/>
      <c r="N51" s="139"/>
      <c r="O51" s="129">
        <f>SUM(O43:O50)</f>
        <v>434098.44172</v>
      </c>
      <c r="P51" s="130">
        <f>O51/W51</f>
        <v>0.10793327845719086</v>
      </c>
      <c r="Q51" s="133"/>
      <c r="R51" s="139"/>
      <c r="S51" s="129">
        <f>SUM(S43:S50)</f>
        <v>562931.35959999997</v>
      </c>
      <c r="T51" s="130">
        <f>IFERROR(S51/$W51,0)</f>
        <v>0.1399660108137</v>
      </c>
      <c r="U51" s="134"/>
      <c r="V51" s="144">
        <f>SUM(V43:V50)</f>
        <v>12852.429</v>
      </c>
      <c r="W51" s="135">
        <f>S51+O51+K51</f>
        <v>4021914.7229200001</v>
      </c>
      <c r="X51" s="41">
        <f t="shared" si="0"/>
        <v>0</v>
      </c>
    </row>
    <row r="52" spans="1:25" ht="15.75" thickBot="1" x14ac:dyDescent="0.3">
      <c r="A52" s="307"/>
      <c r="B52" s="145"/>
      <c r="C52" s="320" t="s">
        <v>35</v>
      </c>
      <c r="D52" s="320"/>
      <c r="E52" s="146"/>
      <c r="F52" s="147"/>
      <c r="G52" s="148"/>
      <c r="H52" s="149">
        <f>H51+H42+H33</f>
        <v>30569562.101719998</v>
      </c>
      <c r="I52" s="150"/>
      <c r="J52" s="151"/>
      <c r="K52" s="85">
        <f>K51+K42+K33</f>
        <v>22853041.423</v>
      </c>
      <c r="L52" s="86">
        <f>IFERROR(K52/W52,0)</f>
        <v>0.74757503385088298</v>
      </c>
      <c r="M52" s="152"/>
      <c r="N52" s="153"/>
      <c r="O52" s="85">
        <f>O51+O42+O33</f>
        <v>3710291.14322</v>
      </c>
      <c r="P52" s="86">
        <f>O52/W52</f>
        <v>0.12137207366183501</v>
      </c>
      <c r="Q52" s="154"/>
      <c r="R52" s="151"/>
      <c r="S52" s="85">
        <f>S51+S42+S33</f>
        <v>4006229.5355000002</v>
      </c>
      <c r="T52" s="86">
        <f>IFERROR(S52/$W52,0)</f>
        <v>0.13105289248728194</v>
      </c>
      <c r="U52" s="155"/>
      <c r="V52" s="156">
        <f>V51+V42+V33</f>
        <v>12852.429</v>
      </c>
      <c r="W52" s="157">
        <f>W51+W42+W33</f>
        <v>30569562.101720002</v>
      </c>
      <c r="X52" s="41">
        <f t="shared" si="0"/>
        <v>0</v>
      </c>
    </row>
    <row r="53" spans="1:25" ht="15.75" thickBot="1" x14ac:dyDescent="0.3">
      <c r="E53" s="158" t="s">
        <v>99</v>
      </c>
      <c r="F53" s="12"/>
      <c r="H53" s="159">
        <f>H52+H23+H18+H11</f>
        <v>270502167.34291995</v>
      </c>
      <c r="I53" s="2"/>
      <c r="J53" s="160"/>
      <c r="K53" s="90">
        <f>K52+K23+K18+K11</f>
        <v>192700740.26800001</v>
      </c>
      <c r="L53" s="161">
        <f>IFERROR(K53/W53,0)</f>
        <v>0.71238150200737627</v>
      </c>
      <c r="M53" s="5"/>
      <c r="N53" s="160"/>
      <c r="O53" s="162">
        <f>O52+O23+O18+O11</f>
        <v>40328234.671020001</v>
      </c>
      <c r="P53" s="161">
        <f>O53/W53</f>
        <v>0.14908654916577893</v>
      </c>
      <c r="Q53" s="7"/>
      <c r="R53" s="160"/>
      <c r="S53" s="90">
        <f>S52+S23+S18+S11</f>
        <v>37473192.403899997</v>
      </c>
      <c r="T53" s="161">
        <f>IFERROR(S53/$W53,0)</f>
        <v>0.13853194882684478</v>
      </c>
      <c r="U53" s="8"/>
      <c r="W53" s="163">
        <f>S53+O53+K53</f>
        <v>270502167.34292001</v>
      </c>
      <c r="X53" s="41">
        <f t="shared" si="0"/>
        <v>0</v>
      </c>
      <c r="Y53" s="291"/>
    </row>
    <row r="54" spans="1:25" ht="15.75" thickBot="1" x14ac:dyDescent="0.3">
      <c r="C54" s="55"/>
      <c r="D54" s="55"/>
      <c r="E54" s="164" t="s">
        <v>100</v>
      </c>
      <c r="F54" s="55"/>
      <c r="G54" s="287">
        <v>2.41E-2</v>
      </c>
      <c r="H54" s="165">
        <f>+H53*$G$54</f>
        <v>6519102.2329643704</v>
      </c>
      <c r="I54" s="166"/>
      <c r="J54" s="167"/>
      <c r="K54" s="165">
        <f>+K53*$G$54</f>
        <v>4644087.8404588001</v>
      </c>
      <c r="L54" s="168"/>
      <c r="M54" s="169"/>
      <c r="N54" s="167"/>
      <c r="O54" s="165">
        <f>+O53*$G$54</f>
        <v>971910.45557158208</v>
      </c>
      <c r="P54" s="168"/>
      <c r="Q54" s="170"/>
      <c r="R54" s="167"/>
      <c r="S54" s="165">
        <f>+S53*$G$54</f>
        <v>903103.93693398999</v>
      </c>
      <c r="T54" s="168"/>
      <c r="U54" s="171"/>
      <c r="V54" s="55"/>
      <c r="W54" s="57">
        <f>S54+O54+K54</f>
        <v>6519102.2329643723</v>
      </c>
      <c r="X54" s="41">
        <f t="shared" si="0"/>
        <v>0</v>
      </c>
    </row>
    <row r="55" spans="1:25" x14ac:dyDescent="0.25">
      <c r="E55" s="172" t="s">
        <v>36</v>
      </c>
      <c r="H55" s="173">
        <f>+H53+H54</f>
        <v>277021269.57588434</v>
      </c>
      <c r="I55" s="2"/>
      <c r="J55" s="160"/>
      <c r="K55" s="173">
        <f>+K54+K53</f>
        <v>197344828.10845882</v>
      </c>
      <c r="L55" s="174"/>
      <c r="M55" s="5"/>
      <c r="N55" s="160"/>
      <c r="O55" s="173">
        <f>+O54+O53</f>
        <v>41300145.126591586</v>
      </c>
      <c r="P55" s="174"/>
      <c r="Q55" s="7"/>
      <c r="R55" s="160"/>
      <c r="S55" s="173">
        <f>+S54+S53</f>
        <v>38376296.340833984</v>
      </c>
      <c r="T55" s="174"/>
      <c r="U55" s="8"/>
      <c r="W55" s="173">
        <f>+W54+W53</f>
        <v>277021269.5758844</v>
      </c>
      <c r="X55" s="41">
        <f t="shared" si="0"/>
        <v>0</v>
      </c>
    </row>
    <row r="56" spans="1:25" x14ac:dyDescent="0.25">
      <c r="A56" s="175"/>
      <c r="B56" s="175"/>
      <c r="C56" s="175"/>
      <c r="D56" s="175"/>
      <c r="E56" s="176" t="s">
        <v>78</v>
      </c>
      <c r="F56" s="177"/>
      <c r="G56" s="288">
        <v>4.863286E-2</v>
      </c>
      <c r="H56" s="179">
        <f>-H55*$G$56</f>
        <v>-13472336.620306242</v>
      </c>
      <c r="I56" s="7"/>
      <c r="J56" s="177"/>
      <c r="K56" s="179">
        <f>-K55*$G$56</f>
        <v>-9597443.3971227426</v>
      </c>
      <c r="L56" s="177"/>
      <c r="M56" s="180"/>
      <c r="N56" s="177"/>
      <c r="O56" s="179">
        <f>-O55*$G$56</f>
        <v>-2008544.1759212108</v>
      </c>
      <c r="P56" s="177"/>
      <c r="Q56" s="133"/>
      <c r="R56" s="177"/>
      <c r="S56" s="179">
        <f>-S55*$G$56</f>
        <v>-1866349.0472622914</v>
      </c>
      <c r="T56" s="177"/>
      <c r="U56" s="181"/>
      <c r="V56" s="177"/>
      <c r="W56" s="182">
        <f>S56+O56+K56</f>
        <v>-13472336.620306246</v>
      </c>
      <c r="X56" s="41">
        <f t="shared" si="0"/>
        <v>0</v>
      </c>
    </row>
    <row r="57" spans="1:25" ht="15.75" x14ac:dyDescent="0.25">
      <c r="E57" s="321" t="s">
        <v>37</v>
      </c>
      <c r="F57" s="321"/>
      <c r="G57" s="321"/>
      <c r="H57" s="183">
        <f>+H55+H56</f>
        <v>263548932.95557809</v>
      </c>
      <c r="I57" s="184"/>
      <c r="J57" s="185"/>
      <c r="K57" s="183">
        <f>+K55+K56</f>
        <v>187747384.71133608</v>
      </c>
      <c r="L57" s="185"/>
      <c r="M57" s="186"/>
      <c r="N57" s="185"/>
      <c r="O57" s="183">
        <f>+O55+O56</f>
        <v>39291600.950670376</v>
      </c>
      <c r="P57" s="185"/>
      <c r="Q57" s="184"/>
      <c r="R57" s="185"/>
      <c r="S57" s="209">
        <f>+S55+S56</f>
        <v>36509947.293571696</v>
      </c>
      <c r="T57" s="185"/>
      <c r="U57" s="187"/>
      <c r="V57" s="185"/>
      <c r="W57" s="183">
        <f>S57+O57+K57</f>
        <v>263548932.95557815</v>
      </c>
      <c r="X57" s="41">
        <f t="shared" si="0"/>
        <v>0</v>
      </c>
    </row>
    <row r="58" spans="1:25" x14ac:dyDescent="0.25">
      <c r="W58" s="41"/>
    </row>
    <row r="59" spans="1:25" x14ac:dyDescent="0.25">
      <c r="G59" t="s">
        <v>83</v>
      </c>
      <c r="K59" s="41">
        <f>+K53-K11</f>
        <v>179384447.26800001</v>
      </c>
      <c r="L59" s="208">
        <f>+K59/$W$59</f>
        <v>0.74403940006499503</v>
      </c>
      <c r="O59" s="41">
        <f>+O53-O11</f>
        <v>30895863.671020001</v>
      </c>
      <c r="P59" s="208">
        <f>+O59/$W$59</f>
        <v>0.12814789810585953</v>
      </c>
      <c r="S59" s="41">
        <f>+S53-S11</f>
        <v>30815049.403899997</v>
      </c>
      <c r="T59" s="208">
        <f>+S59/$W$59</f>
        <v>0.12781270182914539</v>
      </c>
      <c r="W59" s="41">
        <f>+W53-W11</f>
        <v>241095360.34292001</v>
      </c>
    </row>
    <row r="60" spans="1:25" x14ac:dyDescent="0.25">
      <c r="H60" s="41"/>
      <c r="L60" s="208"/>
      <c r="P60" s="208"/>
      <c r="T60" s="208"/>
      <c r="W60" s="41"/>
    </row>
    <row r="62" spans="1:25" x14ac:dyDescent="0.25">
      <c r="W62" s="41"/>
    </row>
  </sheetData>
  <mergeCells count="35">
    <mergeCell ref="E57:G57"/>
    <mergeCell ref="B34:B42"/>
    <mergeCell ref="C35:D35"/>
    <mergeCell ref="C38:D38"/>
    <mergeCell ref="C41:D41"/>
    <mergeCell ref="C42:D42"/>
    <mergeCell ref="B43:B51"/>
    <mergeCell ref="C44:D44"/>
    <mergeCell ref="C47:D47"/>
    <mergeCell ref="C50:D50"/>
    <mergeCell ref="C51:D51"/>
    <mergeCell ref="A13:A18"/>
    <mergeCell ref="C18:D18"/>
    <mergeCell ref="A19:A23"/>
    <mergeCell ref="C23:D23"/>
    <mergeCell ref="A24:A52"/>
    <mergeCell ref="C25:D25"/>
    <mergeCell ref="B26:B33"/>
    <mergeCell ref="C29:D29"/>
    <mergeCell ref="C32:D32"/>
    <mergeCell ref="C33:D33"/>
    <mergeCell ref="C52:D52"/>
    <mergeCell ref="K5:L5"/>
    <mergeCell ref="O5:P5"/>
    <mergeCell ref="S5:T5"/>
    <mergeCell ref="A8:A11"/>
    <mergeCell ref="A2:H3"/>
    <mergeCell ref="J2:K2"/>
    <mergeCell ref="N2:O2"/>
    <mergeCell ref="R2:S2"/>
    <mergeCell ref="V2:W2"/>
    <mergeCell ref="J3:L3"/>
    <mergeCell ref="N3:P3"/>
    <mergeCell ref="R3:T3"/>
    <mergeCell ref="V3:W3"/>
  </mergeCells>
  <pageMargins left="0.25" right="0.25" top="0.5" bottom="0.5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B7C1-63BC-437D-92B8-DC584464C9C9}">
  <dimension ref="A4:I13"/>
  <sheetViews>
    <sheetView zoomScale="69" zoomScaleNormal="124" workbookViewId="0">
      <selection activeCell="L34" sqref="L34"/>
    </sheetView>
  </sheetViews>
  <sheetFormatPr defaultRowHeight="15" x14ac:dyDescent="0.25"/>
  <cols>
    <col min="1" max="1" width="4.140625" customWidth="1"/>
    <col min="2" max="2" width="8" bestFit="1" customWidth="1"/>
    <col min="3" max="3" width="14.140625" customWidth="1"/>
    <col min="4" max="4" width="4.140625" customWidth="1"/>
    <col min="6" max="6" width="14.28515625" bestFit="1" customWidth="1"/>
    <col min="7" max="7" width="4.140625" customWidth="1"/>
    <col min="9" max="9" width="14.28515625" bestFit="1" customWidth="1"/>
  </cols>
  <sheetData>
    <row r="4" spans="1:9" x14ac:dyDescent="0.25">
      <c r="A4" s="191" t="s">
        <v>45</v>
      </c>
      <c r="B4" s="191"/>
      <c r="C4" s="191"/>
      <c r="D4" s="191"/>
      <c r="G4" s="191"/>
    </row>
    <row r="5" spans="1:9" x14ac:dyDescent="0.25">
      <c r="B5">
        <v>2022</v>
      </c>
      <c r="C5">
        <v>3878666</v>
      </c>
      <c r="E5">
        <v>2021</v>
      </c>
      <c r="F5" s="189">
        <v>4488561</v>
      </c>
      <c r="H5">
        <v>2020</v>
      </c>
      <c r="I5" s="189">
        <v>3775622</v>
      </c>
    </row>
    <row r="6" spans="1:9" x14ac:dyDescent="0.25">
      <c r="B6">
        <v>2023</v>
      </c>
      <c r="C6" s="292">
        <v>4963244.96</v>
      </c>
      <c r="E6">
        <v>2022</v>
      </c>
      <c r="F6" s="295">
        <v>4027001</v>
      </c>
      <c r="H6">
        <v>2021</v>
      </c>
      <c r="I6" s="189">
        <v>4055426</v>
      </c>
    </row>
    <row r="7" spans="1:9" x14ac:dyDescent="0.25">
      <c r="B7">
        <v>2024</v>
      </c>
      <c r="C7" s="297">
        <v>5828198</v>
      </c>
      <c r="E7">
        <v>2023</v>
      </c>
      <c r="F7" s="293">
        <v>4784463</v>
      </c>
      <c r="H7">
        <v>2022</v>
      </c>
      <c r="I7" s="296">
        <v>3878665</v>
      </c>
    </row>
    <row r="8" spans="1:9" x14ac:dyDescent="0.25">
      <c r="B8">
        <v>2025</v>
      </c>
      <c r="C8" s="297">
        <v>5818327</v>
      </c>
      <c r="E8">
        <v>2024</v>
      </c>
      <c r="F8" s="190"/>
      <c r="H8">
        <v>2023</v>
      </c>
      <c r="I8" s="294">
        <v>4963245</v>
      </c>
    </row>
    <row r="9" spans="1:9" x14ac:dyDescent="0.25">
      <c r="C9" s="189">
        <f>SUM(C6:C8)</f>
        <v>16609769.960000001</v>
      </c>
      <c r="F9" s="189">
        <f>SUM(F5:F8)</f>
        <v>13300025</v>
      </c>
      <c r="I9" s="189">
        <f>SUM(I6:I8)</f>
        <v>12897336</v>
      </c>
    </row>
    <row r="10" spans="1:9" x14ac:dyDescent="0.25">
      <c r="B10" t="s">
        <v>46</v>
      </c>
      <c r="C10" s="189">
        <f>+C9/3</f>
        <v>5536589.9866666673</v>
      </c>
      <c r="E10" t="s">
        <v>46</v>
      </c>
      <c r="F10" s="189">
        <f>+F9/3</f>
        <v>4433341.666666667</v>
      </c>
      <c r="H10" t="s">
        <v>46</v>
      </c>
      <c r="I10" s="189">
        <f>+I9/3</f>
        <v>4299112</v>
      </c>
    </row>
    <row r="13" spans="1:9" x14ac:dyDescent="0.25">
      <c r="B13" t="s">
        <v>85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030D-2BC8-4068-BD8A-0EBCCB033265}">
  <dimension ref="A1:K23"/>
  <sheetViews>
    <sheetView zoomScale="76" workbookViewId="0">
      <selection activeCell="D25" sqref="D25"/>
    </sheetView>
  </sheetViews>
  <sheetFormatPr defaultColWidth="9.140625" defaultRowHeight="16.5" x14ac:dyDescent="0.3"/>
  <cols>
    <col min="1" max="1" width="18.42578125" style="195" bestFit="1" customWidth="1"/>
    <col min="2" max="7" width="23.7109375" style="195" customWidth="1"/>
    <col min="8" max="16384" width="9.140625" style="195"/>
  </cols>
  <sheetData>
    <row r="1" spans="1:11" x14ac:dyDescent="0.3">
      <c r="D1" s="330" t="s">
        <v>64</v>
      </c>
      <c r="E1" s="331"/>
    </row>
    <row r="2" spans="1:11" x14ac:dyDescent="0.3">
      <c r="A2" s="199" t="s">
        <v>63</v>
      </c>
      <c r="B2" s="199" t="s">
        <v>62</v>
      </c>
      <c r="C2" s="199" t="s">
        <v>61</v>
      </c>
      <c r="D2" s="198" t="s">
        <v>60</v>
      </c>
      <c r="E2" s="198" t="s">
        <v>59</v>
      </c>
      <c r="K2"/>
    </row>
    <row r="3" spans="1:11" x14ac:dyDescent="0.3">
      <c r="A3" s="335" t="s">
        <v>58</v>
      </c>
      <c r="B3" s="197" t="s">
        <v>55</v>
      </c>
      <c r="C3" s="197" t="s">
        <v>54</v>
      </c>
      <c r="D3" s="216">
        <v>20932.849999999999</v>
      </c>
      <c r="E3" s="216">
        <v>242.9</v>
      </c>
    </row>
    <row r="4" spans="1:11" x14ac:dyDescent="0.3">
      <c r="A4" s="331"/>
      <c r="B4" s="335" t="s">
        <v>53</v>
      </c>
      <c r="C4" s="197" t="s">
        <v>52</v>
      </c>
      <c r="D4" s="216">
        <v>124.13</v>
      </c>
      <c r="E4" s="216">
        <v>10.54</v>
      </c>
    </row>
    <row r="5" spans="1:11" x14ac:dyDescent="0.3">
      <c r="A5" s="331"/>
      <c r="B5" s="331"/>
      <c r="C5" s="197" t="s">
        <v>54</v>
      </c>
      <c r="D5" s="216">
        <v>84.58</v>
      </c>
      <c r="E5" s="216">
        <v>1.33</v>
      </c>
    </row>
    <row r="6" spans="1:11" x14ac:dyDescent="0.3">
      <c r="A6" s="335" t="s">
        <v>57</v>
      </c>
      <c r="B6" s="197" t="s">
        <v>55</v>
      </c>
      <c r="C6" s="197" t="s">
        <v>54</v>
      </c>
      <c r="D6" s="216">
        <v>3222.18</v>
      </c>
      <c r="E6" s="216">
        <v>99.02</v>
      </c>
    </row>
    <row r="7" spans="1:11" x14ac:dyDescent="0.3">
      <c r="A7" s="331"/>
      <c r="B7" s="197" t="s">
        <v>53</v>
      </c>
      <c r="C7" s="197" t="s">
        <v>54</v>
      </c>
      <c r="D7" s="216">
        <v>25.16</v>
      </c>
      <c r="E7" s="217">
        <v>1.64</v>
      </c>
    </row>
    <row r="8" spans="1:11" x14ac:dyDescent="0.3">
      <c r="A8" s="335" t="s">
        <v>56</v>
      </c>
      <c r="B8" s="197" t="s">
        <v>55</v>
      </c>
      <c r="C8" s="197" t="s">
        <v>54</v>
      </c>
      <c r="D8" s="216">
        <v>3198.99</v>
      </c>
      <c r="E8" s="216">
        <v>53.8</v>
      </c>
    </row>
    <row r="9" spans="1:11" x14ac:dyDescent="0.3">
      <c r="A9" s="335"/>
      <c r="B9" s="335" t="s">
        <v>53</v>
      </c>
      <c r="C9" s="197" t="s">
        <v>52</v>
      </c>
      <c r="D9" s="216">
        <v>23.74</v>
      </c>
      <c r="E9" s="216">
        <v>13.61</v>
      </c>
    </row>
    <row r="10" spans="1:11" x14ac:dyDescent="0.3">
      <c r="A10" s="335"/>
      <c r="B10" s="335"/>
      <c r="C10" s="195" t="s">
        <v>54</v>
      </c>
      <c r="D10" s="217">
        <v>4.54</v>
      </c>
      <c r="E10" s="217">
        <v>0.15</v>
      </c>
    </row>
    <row r="11" spans="1:11" ht="17.25" thickBot="1" x14ac:dyDescent="0.35"/>
    <row r="12" spans="1:11" ht="49.5" customHeight="1" thickBot="1" x14ac:dyDescent="0.35">
      <c r="B12" s="332" t="s">
        <v>88</v>
      </c>
      <c r="C12" s="333"/>
      <c r="D12" s="332" t="s">
        <v>71</v>
      </c>
      <c r="E12" s="334"/>
      <c r="F12" s="333" t="s">
        <v>72</v>
      </c>
      <c r="G12" s="334"/>
    </row>
    <row r="13" spans="1:11" x14ac:dyDescent="0.3">
      <c r="A13" s="205" t="s">
        <v>58</v>
      </c>
      <c r="B13" s="196">
        <f>+D3+D4+D5</f>
        <v>21141.56</v>
      </c>
      <c r="C13" s="202">
        <f>+B13/$B$16</f>
        <v>0.7655500382565722</v>
      </c>
      <c r="D13" s="196">
        <f>+D3+E3+D5+E5</f>
        <v>21261.660000000003</v>
      </c>
      <c r="E13" s="202">
        <f>+D13/$D$16</f>
        <v>0.76301017387091563</v>
      </c>
      <c r="F13" s="196">
        <f>+D3+D4+D5+E3+E4+E5</f>
        <v>21396.330000000005</v>
      </c>
      <c r="G13" s="202">
        <f>+F13/$F$16</f>
        <v>0.76313204591561601</v>
      </c>
    </row>
    <row r="14" spans="1:11" x14ac:dyDescent="0.3">
      <c r="A14" s="205" t="s">
        <v>57</v>
      </c>
      <c r="B14" s="196">
        <f>+D6+D7</f>
        <v>3247.3399999999997</v>
      </c>
      <c r="C14" s="202">
        <f>+B14/$B$16</f>
        <v>0.11758835493842917</v>
      </c>
      <c r="D14" s="196">
        <f>+D6+E6+D7</f>
        <v>3346.3599999999997</v>
      </c>
      <c r="E14" s="202">
        <f>+D14/$D$16</f>
        <v>0.12008971667474114</v>
      </c>
      <c r="F14" s="196">
        <f>+D6+D7+E6</f>
        <v>3346.3599999999997</v>
      </c>
      <c r="G14" s="202">
        <f>+F14/$F$16</f>
        <v>0.11935292422439642</v>
      </c>
    </row>
    <row r="15" spans="1:11" x14ac:dyDescent="0.3">
      <c r="A15" s="205" t="s">
        <v>56</v>
      </c>
      <c r="B15" s="201">
        <f>+D8+D9+D10</f>
        <v>3227.2699999999995</v>
      </c>
      <c r="C15" s="202">
        <f>+B15/$B$16</f>
        <v>0.11686160680499864</v>
      </c>
      <c r="D15" s="201">
        <f>+D8+E8+D10+E10</f>
        <v>3257.48</v>
      </c>
      <c r="E15" s="202">
        <f>+D15/$D$16</f>
        <v>0.11690010945434318</v>
      </c>
      <c r="F15" s="201">
        <f>+D8+D9+E9+E8+D10+E10</f>
        <v>3294.83</v>
      </c>
      <c r="G15" s="202">
        <f>+F15/$F$16</f>
        <v>0.1175150298599876</v>
      </c>
    </row>
    <row r="16" spans="1:11" x14ac:dyDescent="0.3">
      <c r="B16" s="200">
        <f>SUM(B13:B15)</f>
        <v>27616.170000000002</v>
      </c>
      <c r="C16" s="196"/>
      <c r="D16" s="200">
        <f>SUM(D13:D15)</f>
        <v>27865.500000000004</v>
      </c>
      <c r="E16" s="196"/>
      <c r="F16" s="200">
        <f>SUM(F13:F15)</f>
        <v>28037.520000000004</v>
      </c>
      <c r="G16" s="196"/>
    </row>
    <row r="17" spans="1:4" x14ac:dyDescent="0.3">
      <c r="A17" s="206"/>
    </row>
    <row r="19" spans="1:4" x14ac:dyDescent="0.3">
      <c r="A19" s="205" t="s">
        <v>65</v>
      </c>
      <c r="B19" s="207" t="s">
        <v>58</v>
      </c>
      <c r="C19" s="207" t="s">
        <v>66</v>
      </c>
      <c r="D19" s="207" t="s">
        <v>56</v>
      </c>
    </row>
    <row r="20" spans="1:4" x14ac:dyDescent="0.3">
      <c r="A20" s="195" t="s">
        <v>70</v>
      </c>
      <c r="B20" s="204">
        <v>70</v>
      </c>
      <c r="C20" s="204">
        <v>20</v>
      </c>
      <c r="D20" s="204">
        <v>10</v>
      </c>
    </row>
    <row r="21" spans="1:4" x14ac:dyDescent="0.3">
      <c r="A21" s="195" t="s">
        <v>67</v>
      </c>
      <c r="B21" s="204">
        <v>50</v>
      </c>
      <c r="C21" s="204">
        <v>50</v>
      </c>
      <c r="D21" s="204">
        <v>0</v>
      </c>
    </row>
    <row r="22" spans="1:4" x14ac:dyDescent="0.3">
      <c r="A22" s="195" t="s">
        <v>68</v>
      </c>
      <c r="B22" s="204">
        <v>20</v>
      </c>
      <c r="C22" s="204">
        <v>80</v>
      </c>
      <c r="D22" s="204">
        <v>0</v>
      </c>
    </row>
    <row r="23" spans="1:4" x14ac:dyDescent="0.3">
      <c r="A23" s="195" t="s">
        <v>69</v>
      </c>
      <c r="B23" s="210">
        <v>0</v>
      </c>
      <c r="C23" s="210">
        <v>100</v>
      </c>
      <c r="D23" s="210">
        <v>0</v>
      </c>
    </row>
  </sheetData>
  <mergeCells count="9">
    <mergeCell ref="A3:A5"/>
    <mergeCell ref="A6:A7"/>
    <mergeCell ref="A8:A10"/>
    <mergeCell ref="B9:B10"/>
    <mergeCell ref="D1:E1"/>
    <mergeCell ref="B12:C12"/>
    <mergeCell ref="D12:E12"/>
    <mergeCell ref="F12:G12"/>
    <mergeCell ref="B4:B5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06BD-2FA9-438B-95FF-B5D52A3F4D6C}">
  <dimension ref="A1"/>
  <sheetViews>
    <sheetView workbookViewId="0">
      <selection activeCell="P45" sqref="P4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B84E-3FB7-4D72-A971-D3BA5D4B32F1}">
  <dimension ref="A1"/>
  <sheetViews>
    <sheetView zoomScale="41" workbookViewId="0">
      <selection activeCell="B46" sqref="B46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4525-C361-4456-8C7E-94B482885EFC}">
  <dimension ref="A1"/>
  <sheetViews>
    <sheetView zoomScale="72" workbookViewId="0">
      <selection activeCell="V28" sqref="V28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Allocation</vt:lpstr>
      <vt:lpstr>PY Allocation</vt:lpstr>
      <vt:lpstr>Stabilization</vt:lpstr>
      <vt:lpstr>SCFF</vt:lpstr>
      <vt:lpstr>Lottery PYs</vt:lpstr>
      <vt:lpstr>FTES</vt:lpstr>
      <vt:lpstr>Mandated Programs</vt:lpstr>
      <vt:lpstr>Interest and Other Income</vt:lpstr>
      <vt:lpstr>CCCCO Apportionment </vt:lpstr>
      <vt:lpstr>P1</vt:lpstr>
      <vt:lpstr>P2 Percent w-P1 Count</vt:lpstr>
      <vt:lpstr>Allocation!Print_Area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Giacomini</dc:creator>
  <cp:lastModifiedBy>Alexandria Kemp</cp:lastModifiedBy>
  <cp:lastPrinted>2026-05-07T20:09:06Z</cp:lastPrinted>
  <dcterms:created xsi:type="dcterms:W3CDTF">2022-04-20T16:05:31Z</dcterms:created>
  <dcterms:modified xsi:type="dcterms:W3CDTF">2026-05-07T20:09:48Z</dcterms:modified>
</cp:coreProperties>
</file>